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sant\OneDrive\Documentos\Mis archivos\Clases virtuales_material\"/>
    </mc:Choice>
  </mc:AlternateContent>
  <xr:revisionPtr revIDLastSave="0" documentId="8_{6B7A57C2-B907-491B-BD11-1CD61223B4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esentación" sheetId="5" r:id="rId1"/>
    <sheet name="Balance" sheetId="1" r:id="rId2"/>
    <sheet name="Resultados" sheetId="2" r:id="rId3"/>
    <sheet name="Ratios" sheetId="3" r:id="rId4"/>
    <sheet name="Rubros componentes" sheetId="4" r:id="rId5"/>
  </sheets>
  <externalReferences>
    <externalReference r:id="rId6"/>
  </externalReferences>
  <definedNames>
    <definedName name="_xlnm.Print_Area" localSheetId="1">Balance!$A$1:$T$44</definedName>
    <definedName name="_xlnm.Print_Area" localSheetId="3">Ratios!$A$1:$H$32</definedName>
    <definedName name="_xlnm.Print_Area" localSheetId="2">Resultados!$A$1:$J$33</definedName>
    <definedName name="contenido">[1]activos!$C$5</definedName>
    <definedName name="wrn.Fichas." hidden="1">{#N/A,#N/A,FALSE,"resultados";#N/A,#N/A,FALSE,"resultados re";#N/A,#N/A,FALSE,"pasivos";#N/A,#N/A,FALSE,"pasivos re";#N/A,#N/A,FALSE,"activos";#N/A,#N/A,FALSE,"activos re";#N/A,#N/A,FALSE,"Indicadores";#N/A,#N/A,FALSE,"Indicadores re"}</definedName>
    <definedName name="wrn.Fichasc." hidden="1">{#N/A,#N/A,FALSE,"Indicadores re";#N/A,#N/A,FALSE,"Indicadores";#N/A,#N/A,FALSE,"resultados re";#N/A,#N/A,FALSE,"resultados";#N/A,#N/A,FALSE,"pasivos re";#N/A,#N/A,FALSE,"pasivos";#N/A,#N/A,FALSE,"activos re";#N/A,#N/A,FALSE,"activos"}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3" l="1"/>
  <c r="F38" i="3"/>
  <c r="F37" i="3"/>
  <c r="F36" i="3"/>
  <c r="F34" i="3"/>
  <c r="F35" i="3" s="1"/>
  <c r="F32" i="3"/>
  <c r="F31" i="3"/>
  <c r="F30" i="3"/>
  <c r="F25" i="3"/>
  <c r="F24" i="3"/>
  <c r="F23" i="3"/>
  <c r="F22" i="3"/>
  <c r="E22" i="3"/>
  <c r="F19" i="3"/>
  <c r="F18" i="3"/>
  <c r="F17" i="3"/>
  <c r="F16" i="3"/>
  <c r="F15" i="3"/>
  <c r="I10" i="2"/>
  <c r="I11" i="2"/>
  <c r="I12" i="2"/>
  <c r="I13" i="2"/>
  <c r="I14" i="2"/>
  <c r="I15" i="2"/>
  <c r="I16" i="2"/>
  <c r="I18" i="2"/>
  <c r="I19" i="2"/>
  <c r="I20" i="2"/>
  <c r="I22" i="2"/>
  <c r="I9" i="2"/>
  <c r="H8" i="2"/>
  <c r="H17" i="2"/>
  <c r="I17" i="2" s="1"/>
  <c r="E15" i="3"/>
  <c r="H12" i="2"/>
  <c r="H11" i="2"/>
  <c r="F41" i="1"/>
  <c r="R30" i="1"/>
  <c r="F44" i="1" s="1"/>
  <c r="F29" i="3" s="1"/>
  <c r="R19" i="1"/>
  <c r="R9" i="1"/>
  <c r="R8" i="1"/>
  <c r="F38" i="1"/>
  <c r="F42" i="1"/>
  <c r="F40" i="1"/>
  <c r="F39" i="1"/>
  <c r="F14" i="3" s="1"/>
  <c r="H20" i="1"/>
  <c r="H19" i="1" s="1"/>
  <c r="H9" i="1"/>
  <c r="F12" i="3"/>
  <c r="F6" i="3"/>
  <c r="D41" i="1"/>
  <c r="B41" i="1"/>
  <c r="D38" i="1"/>
  <c r="B38" i="1"/>
  <c r="G13" i="2"/>
  <c r="G14" i="2"/>
  <c r="G15" i="2"/>
  <c r="G16" i="2"/>
  <c r="G19" i="2"/>
  <c r="G20" i="2"/>
  <c r="G22" i="2"/>
  <c r="G10" i="2"/>
  <c r="G9" i="2"/>
  <c r="F12" i="2"/>
  <c r="G12" i="2" s="1"/>
  <c r="F18" i="2"/>
  <c r="G18" i="2" s="1"/>
  <c r="F11" i="2"/>
  <c r="G11" i="2" s="1"/>
  <c r="F8" i="2"/>
  <c r="T23" i="1"/>
  <c r="T24" i="1"/>
  <c r="T25" i="1"/>
  <c r="T26" i="1"/>
  <c r="T27" i="1"/>
  <c r="T28" i="1"/>
  <c r="T29" i="1"/>
  <c r="J26" i="1"/>
  <c r="J27" i="1"/>
  <c r="J28" i="1"/>
  <c r="J29" i="1"/>
  <c r="J30" i="1"/>
  <c r="J31" i="1"/>
  <c r="J32" i="1"/>
  <c r="J33" i="1"/>
  <c r="J34" i="1"/>
  <c r="J35" i="1"/>
  <c r="J22" i="1"/>
  <c r="J23" i="1"/>
  <c r="F20" i="1"/>
  <c r="D20" i="1"/>
  <c r="B20" i="1"/>
  <c r="D18" i="2"/>
  <c r="B18" i="2"/>
  <c r="E37" i="3"/>
  <c r="H37" i="3" s="1"/>
  <c r="D37" i="3"/>
  <c r="E38" i="3"/>
  <c r="D38" i="3"/>
  <c r="P19" i="1"/>
  <c r="N19" i="1"/>
  <c r="L19" i="1"/>
  <c r="P9" i="1"/>
  <c r="F11" i="3" s="1"/>
  <c r="N9" i="1"/>
  <c r="L9" i="1"/>
  <c r="T18" i="1"/>
  <c r="T13" i="1"/>
  <c r="T14" i="1"/>
  <c r="T15" i="1"/>
  <c r="T16" i="1"/>
  <c r="T17" i="1"/>
  <c r="J32" i="2"/>
  <c r="J33" i="2"/>
  <c r="J30" i="2"/>
  <c r="D42" i="1"/>
  <c r="H31" i="2" l="1"/>
  <c r="H36" i="1"/>
  <c r="I25" i="1" s="1"/>
  <c r="H21" i="2"/>
  <c r="R36" i="1"/>
  <c r="S30" i="1" s="1"/>
  <c r="H38" i="3"/>
  <c r="F17" i="2"/>
  <c r="G37" i="3"/>
  <c r="G38" i="3"/>
  <c r="H23" i="2" l="1"/>
  <c r="I21" i="2"/>
  <c r="I26" i="1"/>
  <c r="I32" i="1"/>
  <c r="I36" i="1"/>
  <c r="I13" i="1"/>
  <c r="I9" i="1"/>
  <c r="I19" i="1"/>
  <c r="I21" i="1"/>
  <c r="I16" i="1"/>
  <c r="I27" i="1"/>
  <c r="I29" i="1"/>
  <c r="I17" i="1"/>
  <c r="I28" i="1"/>
  <c r="I34" i="1"/>
  <c r="I15" i="1"/>
  <c r="I11" i="1"/>
  <c r="I35" i="1"/>
  <c r="I14" i="1"/>
  <c r="I24" i="1"/>
  <c r="I12" i="1"/>
  <c r="I22" i="1"/>
  <c r="I10" i="1"/>
  <c r="I31" i="1"/>
  <c r="I23" i="1"/>
  <c r="I33" i="1"/>
  <c r="I18" i="1"/>
  <c r="I20" i="1"/>
  <c r="I30" i="1"/>
  <c r="S10" i="1"/>
  <c r="S18" i="1"/>
  <c r="S26" i="1"/>
  <c r="S34" i="1"/>
  <c r="S11" i="1"/>
  <c r="S19" i="1"/>
  <c r="S27" i="1"/>
  <c r="S35" i="1"/>
  <c r="S12" i="1"/>
  <c r="S20" i="1"/>
  <c r="S28" i="1"/>
  <c r="S36" i="1"/>
  <c r="S13" i="1"/>
  <c r="S21" i="1"/>
  <c r="S29" i="1"/>
  <c r="S14" i="1"/>
  <c r="S22" i="1"/>
  <c r="S25" i="1"/>
  <c r="S15" i="1"/>
  <c r="S23" i="1"/>
  <c r="S31" i="1"/>
  <c r="S33" i="1"/>
  <c r="S16" i="1"/>
  <c r="S24" i="1"/>
  <c r="S32" i="1"/>
  <c r="S17" i="1"/>
  <c r="S9" i="1"/>
  <c r="F21" i="2"/>
  <c r="G17" i="2"/>
  <c r="P30" i="1"/>
  <c r="N30" i="1"/>
  <c r="D31" i="2" s="1"/>
  <c r="E40" i="3" s="1"/>
  <c r="L30" i="1"/>
  <c r="B31" i="2" s="1"/>
  <c r="B42" i="1"/>
  <c r="E42" i="1" s="1"/>
  <c r="B39" i="1"/>
  <c r="D15" i="3" s="1"/>
  <c r="T33" i="1"/>
  <c r="T34" i="1"/>
  <c r="T35" i="1"/>
  <c r="F9" i="1"/>
  <c r="D9" i="1"/>
  <c r="B9" i="1"/>
  <c r="J25" i="1"/>
  <c r="E12" i="3"/>
  <c r="D12" i="3"/>
  <c r="T22" i="1"/>
  <c r="T12" i="1"/>
  <c r="J17" i="1"/>
  <c r="J18" i="1"/>
  <c r="D40" i="1"/>
  <c r="E17" i="3" s="1"/>
  <c r="B40" i="1"/>
  <c r="E16" i="3"/>
  <c r="D16" i="3"/>
  <c r="J10" i="2"/>
  <c r="J12" i="2"/>
  <c r="J13" i="2"/>
  <c r="J14" i="2"/>
  <c r="J15" i="2"/>
  <c r="J16" i="2"/>
  <c r="J18" i="2"/>
  <c r="J19" i="2"/>
  <c r="J20" i="2"/>
  <c r="J22" i="2"/>
  <c r="J9" i="2"/>
  <c r="E9" i="2"/>
  <c r="E10" i="2"/>
  <c r="E12" i="2"/>
  <c r="E13" i="2"/>
  <c r="E14" i="2"/>
  <c r="E15" i="2"/>
  <c r="E16" i="2"/>
  <c r="E18" i="2"/>
  <c r="E19" i="2"/>
  <c r="E20" i="2"/>
  <c r="E22" i="2"/>
  <c r="C9" i="2"/>
  <c r="C10" i="2"/>
  <c r="C12" i="2"/>
  <c r="C13" i="2"/>
  <c r="C14" i="2"/>
  <c r="C15" i="2"/>
  <c r="C16" i="2"/>
  <c r="C18" i="2"/>
  <c r="C19" i="2"/>
  <c r="C20" i="2"/>
  <c r="C22" i="2"/>
  <c r="T10" i="1"/>
  <c r="T11" i="1"/>
  <c r="T20" i="1"/>
  <c r="T21" i="1"/>
  <c r="T31" i="1"/>
  <c r="T32" i="1"/>
  <c r="J16" i="1"/>
  <c r="J20" i="1"/>
  <c r="J21" i="1"/>
  <c r="J24" i="1"/>
  <c r="J11" i="1"/>
  <c r="J12" i="1"/>
  <c r="J13" i="1"/>
  <c r="J14" i="1"/>
  <c r="J15" i="1"/>
  <c r="J10" i="1"/>
  <c r="I23" i="2" l="1"/>
  <c r="H29" i="2"/>
  <c r="I29" i="2" s="1"/>
  <c r="F31" i="2"/>
  <c r="F40" i="3" s="1"/>
  <c r="F8" i="3"/>
  <c r="F9" i="3"/>
  <c r="F10" i="3"/>
  <c r="D17" i="3"/>
  <c r="G17" i="3" s="1"/>
  <c r="F23" i="2"/>
  <c r="G21" i="2"/>
  <c r="J31" i="2"/>
  <c r="D40" i="3"/>
  <c r="H40" i="3" s="1"/>
  <c r="E18" i="3"/>
  <c r="D10" i="3"/>
  <c r="H12" i="3"/>
  <c r="H16" i="3"/>
  <c r="E40" i="1"/>
  <c r="D39" i="1"/>
  <c r="H15" i="3" s="1"/>
  <c r="E41" i="1"/>
  <c r="F19" i="1"/>
  <c r="T19" i="1"/>
  <c r="D11" i="2"/>
  <c r="B11" i="2"/>
  <c r="B17" i="2" s="1"/>
  <c r="C17" i="2" s="1"/>
  <c r="D19" i="1"/>
  <c r="B19" i="1"/>
  <c r="J9" i="1"/>
  <c r="A4" i="3"/>
  <c r="A4" i="2"/>
  <c r="A5" i="3"/>
  <c r="D6" i="3"/>
  <c r="E6" i="3"/>
  <c r="D19" i="3"/>
  <c r="D14" i="3"/>
  <c r="A5" i="2"/>
  <c r="D8" i="2"/>
  <c r="B8" i="2"/>
  <c r="P8" i="1"/>
  <c r="L8" i="1"/>
  <c r="N8" i="1"/>
  <c r="D18" i="3" l="1"/>
  <c r="H18" i="3" s="1"/>
  <c r="H17" i="3"/>
  <c r="F29" i="2"/>
  <c r="G29" i="2" s="1"/>
  <c r="G23" i="2"/>
  <c r="D9" i="3"/>
  <c r="D11" i="3"/>
  <c r="J19" i="1"/>
  <c r="E11" i="2"/>
  <c r="E30" i="3"/>
  <c r="D17" i="2"/>
  <c r="J17" i="2" s="1"/>
  <c r="E11" i="3"/>
  <c r="E10" i="3"/>
  <c r="H10" i="3" s="1"/>
  <c r="J11" i="2"/>
  <c r="C11" i="2"/>
  <c r="D30" i="3"/>
  <c r="D23" i="3"/>
  <c r="E19" i="3"/>
  <c r="H19" i="3" s="1"/>
  <c r="T30" i="1"/>
  <c r="E23" i="3"/>
  <c r="T9" i="1"/>
  <c r="E9" i="3"/>
  <c r="E39" i="1"/>
  <c r="E14" i="3"/>
  <c r="H14" i="3" s="1"/>
  <c r="B21" i="2"/>
  <c r="C21" i="2" s="1"/>
  <c r="D44" i="1"/>
  <c r="P36" i="1"/>
  <c r="F36" i="1"/>
  <c r="F43" i="1" s="1"/>
  <c r="N36" i="1"/>
  <c r="D36" i="1"/>
  <c r="E11" i="1" s="1"/>
  <c r="E8" i="3"/>
  <c r="G12" i="3"/>
  <c r="B36" i="1"/>
  <c r="D8" i="3"/>
  <c r="L36" i="1"/>
  <c r="B44" i="1"/>
  <c r="F20" i="3" l="1"/>
  <c r="F28" i="3"/>
  <c r="F27" i="3"/>
  <c r="G18" i="3"/>
  <c r="E29" i="1"/>
  <c r="E22" i="1"/>
  <c r="C27" i="1"/>
  <c r="C26" i="1"/>
  <c r="C9" i="1"/>
  <c r="C29" i="1"/>
  <c r="C30" i="1"/>
  <c r="C28" i="1"/>
  <c r="G25" i="1"/>
  <c r="G27" i="1"/>
  <c r="G28" i="1"/>
  <c r="G29" i="1"/>
  <c r="G26" i="1"/>
  <c r="Q28" i="1"/>
  <c r="Q29" i="1"/>
  <c r="Q18" i="1"/>
  <c r="Q27" i="1"/>
  <c r="G32" i="1"/>
  <c r="G22" i="1"/>
  <c r="G40" i="3"/>
  <c r="O18" i="1"/>
  <c r="O27" i="1"/>
  <c r="O28" i="1"/>
  <c r="O29" i="1"/>
  <c r="M18" i="1"/>
  <c r="M28" i="1"/>
  <c r="M29" i="1"/>
  <c r="M27" i="1"/>
  <c r="H11" i="3"/>
  <c r="C22" i="1"/>
  <c r="C32" i="1"/>
  <c r="E24" i="3"/>
  <c r="E32" i="1"/>
  <c r="H9" i="3"/>
  <c r="H23" i="3"/>
  <c r="C25" i="1"/>
  <c r="D24" i="3"/>
  <c r="H8" i="3"/>
  <c r="G30" i="3"/>
  <c r="D21" i="2"/>
  <c r="E17" i="2"/>
  <c r="E44" i="1"/>
  <c r="Q22" i="1"/>
  <c r="Q33" i="1"/>
  <c r="Q23" i="1"/>
  <c r="Q34" i="1"/>
  <c r="Q25" i="1"/>
  <c r="Q35" i="1"/>
  <c r="Q24" i="1"/>
  <c r="Q26" i="1"/>
  <c r="M35" i="1"/>
  <c r="M34" i="1"/>
  <c r="G11" i="3"/>
  <c r="O35" i="1"/>
  <c r="O25" i="1"/>
  <c r="O24" i="1"/>
  <c r="O34" i="1"/>
  <c r="O23" i="1"/>
  <c r="O26" i="1"/>
  <c r="O22" i="1"/>
  <c r="E27" i="1"/>
  <c r="E28" i="1"/>
  <c r="E25" i="1"/>
  <c r="E26" i="1"/>
  <c r="M22" i="1"/>
  <c r="M26" i="1"/>
  <c r="M23" i="1"/>
  <c r="M25" i="1"/>
  <c r="M24" i="1"/>
  <c r="Q13" i="1"/>
  <c r="Q17" i="1"/>
  <c r="Q15" i="1"/>
  <c r="Q11" i="1"/>
  <c r="Q14" i="1"/>
  <c r="Q12" i="1"/>
  <c r="Q16" i="1"/>
  <c r="O14" i="1"/>
  <c r="O16" i="1"/>
  <c r="O17" i="1"/>
  <c r="G33" i="1"/>
  <c r="G34" i="1"/>
  <c r="G35" i="1"/>
  <c r="C34" i="1"/>
  <c r="C35" i="1"/>
  <c r="C33" i="1"/>
  <c r="E34" i="1"/>
  <c r="E35" i="1"/>
  <c r="E33" i="1"/>
  <c r="M14" i="1"/>
  <c r="M12" i="1"/>
  <c r="M15" i="1"/>
  <c r="M16" i="1"/>
  <c r="M13" i="1"/>
  <c r="M17" i="1"/>
  <c r="M11" i="1"/>
  <c r="E17" i="1"/>
  <c r="E18" i="1"/>
  <c r="E16" i="1"/>
  <c r="G16" i="1"/>
  <c r="G17" i="1"/>
  <c r="G18" i="1"/>
  <c r="D22" i="3"/>
  <c r="C17" i="1"/>
  <c r="C18" i="1"/>
  <c r="G19" i="3"/>
  <c r="G14" i="3"/>
  <c r="B23" i="2"/>
  <c r="D34" i="3" s="1"/>
  <c r="C21" i="1"/>
  <c r="C10" i="1"/>
  <c r="C24" i="1"/>
  <c r="C14" i="1"/>
  <c r="C23" i="1"/>
  <c r="C36" i="1"/>
  <c r="C11" i="1"/>
  <c r="C31" i="1"/>
  <c r="C15" i="1"/>
  <c r="C16" i="1"/>
  <c r="C12" i="1"/>
  <c r="C13" i="1"/>
  <c r="C19" i="1"/>
  <c r="C20" i="1"/>
  <c r="Q20" i="1"/>
  <c r="Q10" i="1"/>
  <c r="Q30" i="1"/>
  <c r="Q21" i="1"/>
  <c r="Q36" i="1"/>
  <c r="Q9" i="1"/>
  <c r="Q31" i="1"/>
  <c r="Q19" i="1"/>
  <c r="Q32" i="1"/>
  <c r="G16" i="3"/>
  <c r="O13" i="1"/>
  <c r="O9" i="1"/>
  <c r="O10" i="1"/>
  <c r="O30" i="1"/>
  <c r="O31" i="1"/>
  <c r="O20" i="1"/>
  <c r="O19" i="1"/>
  <c r="O32" i="1"/>
  <c r="T36" i="1"/>
  <c r="O33" i="1"/>
  <c r="O15" i="1"/>
  <c r="O11" i="1"/>
  <c r="O21" i="1"/>
  <c r="O12" i="1"/>
  <c r="O36" i="1"/>
  <c r="M31" i="1"/>
  <c r="M32" i="1"/>
  <c r="M19" i="1"/>
  <c r="M20" i="1"/>
  <c r="M33" i="1"/>
  <c r="M21" i="1"/>
  <c r="M30" i="1"/>
  <c r="M36" i="1"/>
  <c r="M9" i="1"/>
  <c r="M10" i="1"/>
  <c r="G12" i="1"/>
  <c r="G21" i="1"/>
  <c r="G23" i="1"/>
  <c r="G13" i="1"/>
  <c r="G14" i="1"/>
  <c r="G24" i="1"/>
  <c r="G9" i="1"/>
  <c r="G31" i="1"/>
  <c r="G15" i="1"/>
  <c r="G10" i="1"/>
  <c r="G30" i="1"/>
  <c r="G19" i="1"/>
  <c r="G11" i="1"/>
  <c r="G20" i="1"/>
  <c r="G36" i="1"/>
  <c r="E15" i="1"/>
  <c r="E10" i="1"/>
  <c r="E30" i="1"/>
  <c r="E31" i="1"/>
  <c r="E19" i="1"/>
  <c r="E20" i="1"/>
  <c r="J36" i="1"/>
  <c r="E24" i="1"/>
  <c r="E12" i="1"/>
  <c r="E21" i="1"/>
  <c r="E14" i="1"/>
  <c r="E13" i="1"/>
  <c r="E23" i="1"/>
  <c r="E36" i="1"/>
  <c r="E9" i="1"/>
  <c r="D43" i="1"/>
  <c r="G15" i="3"/>
  <c r="G9" i="3"/>
  <c r="G10" i="3"/>
  <c r="G8" i="3"/>
  <c r="B43" i="1"/>
  <c r="G23" i="3"/>
  <c r="D39" i="3" l="1"/>
  <c r="D36" i="3"/>
  <c r="D29" i="3"/>
  <c r="H24" i="3"/>
  <c r="H22" i="3"/>
  <c r="D23" i="2"/>
  <c r="E34" i="3" s="1"/>
  <c r="E21" i="2"/>
  <c r="J21" i="2"/>
  <c r="D31" i="3"/>
  <c r="C23" i="2"/>
  <c r="E43" i="1"/>
  <c r="D20" i="3"/>
  <c r="D27" i="3"/>
  <c r="E20" i="3"/>
  <c r="B29" i="2"/>
  <c r="D25" i="3" s="1"/>
  <c r="G24" i="3"/>
  <c r="G22" i="3"/>
  <c r="E39" i="3" l="1"/>
  <c r="H39" i="3" s="1"/>
  <c r="E36" i="3"/>
  <c r="H36" i="3" s="1"/>
  <c r="J23" i="2"/>
  <c r="G34" i="3"/>
  <c r="D35" i="3"/>
  <c r="H20" i="3"/>
  <c r="D28" i="3"/>
  <c r="D29" i="2"/>
  <c r="E25" i="3" s="1"/>
  <c r="H25" i="3" s="1"/>
  <c r="E23" i="2"/>
  <c r="E31" i="3"/>
  <c r="G31" i="3" s="1"/>
  <c r="E29" i="3"/>
  <c r="G29" i="3" s="1"/>
  <c r="E27" i="3"/>
  <c r="G27" i="3" s="1"/>
  <c r="C29" i="2"/>
  <c r="D32" i="3"/>
  <c r="G20" i="3"/>
  <c r="G36" i="3" l="1"/>
  <c r="G39" i="3"/>
  <c r="E35" i="3"/>
  <c r="G35" i="3" s="1"/>
  <c r="H34" i="3"/>
  <c r="E29" i="2"/>
  <c r="J29" i="2"/>
  <c r="E32" i="3"/>
  <c r="G32" i="3" s="1"/>
  <c r="E28" i="3"/>
  <c r="G28" i="3" s="1"/>
  <c r="G25" i="3"/>
  <c r="H3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Santic</author>
  </authors>
  <commentList>
    <comment ref="B8" authorId="0" shapeId="0" xr:uid="{3F2E70E0-3118-4591-BEC4-8B92DFE93559}">
      <text>
        <r>
          <rPr>
            <b/>
            <sz val="9"/>
            <color indexed="81"/>
            <rFont val="Tahoma"/>
            <family val="2"/>
          </rPr>
          <t>José Santic:</t>
        </r>
        <r>
          <rPr>
            <sz val="9"/>
            <color indexed="81"/>
            <rFont val="Tahoma"/>
            <family val="2"/>
          </rPr>
          <t xml:space="preserve">
Escribir 31 de dic último año. Ejemplo: 31/12/2023
</t>
        </r>
      </text>
    </comment>
    <comment ref="D8" authorId="0" shapeId="0" xr:uid="{54130687-B2BB-40AE-B608-D27532F91678}">
      <text>
        <r>
          <rPr>
            <b/>
            <sz val="9"/>
            <color indexed="81"/>
            <rFont val="Tahoma"/>
            <family val="2"/>
          </rPr>
          <t>José Santic:</t>
        </r>
        <r>
          <rPr>
            <sz val="9"/>
            <color indexed="81"/>
            <rFont val="Tahoma"/>
            <family val="2"/>
          </rPr>
          <t xml:space="preserve">
Escribir 31 de dic penúltimo año. Ejemplo: 31/12/2022
</t>
        </r>
      </text>
    </comment>
    <comment ref="F8" authorId="0" shapeId="0" xr:uid="{2153F649-E260-4049-BAC4-A88DC0234FB8}">
      <text>
        <r>
          <rPr>
            <b/>
            <sz val="9"/>
            <color indexed="81"/>
            <rFont val="Tahoma"/>
            <family val="2"/>
          </rPr>
          <t>José Santic:</t>
        </r>
        <r>
          <rPr>
            <sz val="9"/>
            <color indexed="81"/>
            <rFont val="Tahoma"/>
            <family val="2"/>
          </rPr>
          <t xml:space="preserve">
Escribir 31 de dic antepenúltimo año. Ejemplo: 31/12/201
</t>
        </r>
      </text>
    </comment>
    <comment ref="H8" authorId="0" shapeId="0" xr:uid="{AFB33140-24FD-4437-9323-C1182408BDA3}">
      <text>
        <r>
          <rPr>
            <b/>
            <sz val="9"/>
            <color indexed="81"/>
            <rFont val="Tahoma"/>
            <family val="2"/>
          </rPr>
          <t>José Santic:</t>
        </r>
        <r>
          <rPr>
            <sz val="9"/>
            <color indexed="81"/>
            <rFont val="Tahoma"/>
            <family val="2"/>
          </rPr>
          <t xml:space="preserve">
Escribir 31 de dic antepenúltimo año. Ejemplo: 31/12/201
</t>
        </r>
      </text>
    </comment>
    <comment ref="A10" authorId="0" shapeId="0" xr:uid="{FDB226AC-0D08-4AFF-8F1F-377A1C1A60D0}">
      <text>
        <r>
          <rPr>
            <b/>
            <sz val="9"/>
            <color indexed="81"/>
            <rFont val="Tahoma"/>
            <family val="2"/>
          </rPr>
          <t>José Santic:</t>
        </r>
        <r>
          <rPr>
            <sz val="9"/>
            <color indexed="81"/>
            <rFont val="Tahoma"/>
            <family val="2"/>
          </rPr>
          <t xml:space="preserve">
Dep. en ctas ctes. Y fondos en caja</t>
        </r>
      </text>
    </comment>
    <comment ref="B38" authorId="0" shapeId="0" xr:uid="{468CF42C-97AF-4BC5-B859-293DC6929A69}">
      <text>
        <r>
          <rPr>
            <b/>
            <sz val="9"/>
            <color indexed="81"/>
            <rFont val="Tahoma"/>
            <family val="2"/>
          </rPr>
          <t>José Santic:</t>
        </r>
        <r>
          <rPr>
            <sz val="9"/>
            <color indexed="81"/>
            <rFont val="Tahoma"/>
            <family val="2"/>
          </rPr>
          <t xml:space="preserve">
Escribir 31 de dic último año. Ejemplo: 31/12/2023
</t>
        </r>
      </text>
    </comment>
    <comment ref="D38" authorId="0" shapeId="0" xr:uid="{FCA21FA0-2F6F-4CF9-AD00-B3FBD88F70E9}">
      <text>
        <r>
          <rPr>
            <b/>
            <sz val="9"/>
            <color indexed="81"/>
            <rFont val="Tahoma"/>
            <family val="2"/>
          </rPr>
          <t>José Santic:</t>
        </r>
        <r>
          <rPr>
            <sz val="9"/>
            <color indexed="81"/>
            <rFont val="Tahoma"/>
            <family val="2"/>
          </rPr>
          <t xml:space="preserve">
Escribir 31 de dic penúltimo año. Ejemplo: 31/12/2022</t>
        </r>
      </text>
    </comment>
    <comment ref="F38" authorId="0" shapeId="0" xr:uid="{BF3843EE-8A44-48B9-8E1D-07CAFD3CD4AD}">
      <text>
        <r>
          <rPr>
            <b/>
            <sz val="9"/>
            <color indexed="81"/>
            <rFont val="Tahoma"/>
            <family val="2"/>
          </rPr>
          <t>José Santic:</t>
        </r>
        <r>
          <rPr>
            <sz val="9"/>
            <color indexed="81"/>
            <rFont val="Tahoma"/>
            <family val="2"/>
          </rPr>
          <t xml:space="preserve">
Escribir 31 de dic penúltimo año. Ejemplo: 31/12/2021</t>
        </r>
      </text>
    </comment>
  </commentList>
</comments>
</file>

<file path=xl/sharedStrings.xml><?xml version="1.0" encoding="utf-8"?>
<sst xmlns="http://schemas.openxmlformats.org/spreadsheetml/2006/main" count="331" uniqueCount="265">
  <si>
    <t>ACTIVOS</t>
  </si>
  <si>
    <t>PASIVOS</t>
  </si>
  <si>
    <t>TOTAL ACTIVOS</t>
  </si>
  <si>
    <t>PATRIMONIO</t>
  </si>
  <si>
    <t>Otras reservas</t>
  </si>
  <si>
    <t>Valores acumulados al</t>
  </si>
  <si>
    <t>%</t>
  </si>
  <si>
    <t>Ingresos financieros</t>
  </si>
  <si>
    <t>Diferencias de cambio</t>
  </si>
  <si>
    <t>RATIOS DE LIQUIDEZ</t>
  </si>
  <si>
    <t>RATIOS FINANCIEROS</t>
  </si>
  <si>
    <t>RATIOS</t>
  </si>
  <si>
    <t xml:space="preserve">Prueba ácida </t>
  </si>
  <si>
    <t>Cobertura de gastos de explotación</t>
  </si>
  <si>
    <t>Margen de utilidades brutas</t>
  </si>
  <si>
    <t>Margen de utilidad neta (opción A)</t>
  </si>
  <si>
    <t>Margen de utilidad neta (opción B)</t>
  </si>
  <si>
    <t>ANEXO N° 1</t>
  </si>
  <si>
    <t>ANEXO N° 2</t>
  </si>
  <si>
    <t>Unidad
de medida</t>
  </si>
  <si>
    <t>Miles $</t>
  </si>
  <si>
    <t>Veces</t>
  </si>
  <si>
    <t>Días</t>
  </si>
  <si>
    <t>Patrimonio promedio</t>
  </si>
  <si>
    <t>Otros datos:</t>
  </si>
  <si>
    <t xml:space="preserve">RATIOS DE RENTABILIDAD </t>
  </si>
  <si>
    <t>ESTADO DE RESULTADOS (MILES DE $)</t>
  </si>
  <si>
    <t>Otros activos financieros, corrientes</t>
  </si>
  <si>
    <t>ACTIVOS CORRIENTES</t>
  </si>
  <si>
    <t>ACTIVOS NO CORRIENTES</t>
  </si>
  <si>
    <t>Otros activos financieros, no corrientes</t>
  </si>
  <si>
    <t>Propiedades, planta y equipos</t>
  </si>
  <si>
    <t>Otros pasivos financieros corrientes</t>
  </si>
  <si>
    <t>PASIVOS CORRIENTES</t>
  </si>
  <si>
    <t>Otros pasivos no financieros, corrientes</t>
  </si>
  <si>
    <t>Activos corrientes - Pasivos corrientes</t>
  </si>
  <si>
    <t>Activos corrientes / Pasivos corrientes</t>
  </si>
  <si>
    <t>PASIVOS NO CORRIENTES</t>
  </si>
  <si>
    <t>Otros pasivos financieros no corrientes</t>
  </si>
  <si>
    <t>Capital</t>
  </si>
  <si>
    <t>Activos intangibles distintos de la plusvalía</t>
  </si>
  <si>
    <t xml:space="preserve">Razón de efectivo </t>
  </si>
  <si>
    <t>Cuentas por cobrar a entidades relacionadas, corrientes</t>
  </si>
  <si>
    <t>Inventarios corrientes</t>
  </si>
  <si>
    <t>Cuentas por cobrar, no corrientes</t>
  </si>
  <si>
    <t>Activos por impuestos corrientes</t>
  </si>
  <si>
    <t>Pasivos por impuestos corrientes</t>
  </si>
  <si>
    <t>Provisiones corrientes por beneficios a empleados</t>
  </si>
  <si>
    <t>Cuentas por pagar no corrientes</t>
  </si>
  <si>
    <t>Otros pasivos no financieros no corrientes</t>
  </si>
  <si>
    <t xml:space="preserve">Otros ingresos </t>
  </si>
  <si>
    <t>Gastos de administración</t>
  </si>
  <si>
    <t>Costos financieros</t>
  </si>
  <si>
    <t>Gasto por impuestos a las ganancias</t>
  </si>
  <si>
    <t>Deudores comerciales y otras cuentas por cobrar, corrientes</t>
  </si>
  <si>
    <t>Otros gastos</t>
  </si>
  <si>
    <t>Promedio planta y equipos</t>
  </si>
  <si>
    <t>Promedio deudores comerciales y otras cuentas por cobrar</t>
  </si>
  <si>
    <t>ANEXO N°3</t>
  </si>
  <si>
    <t>Var %</t>
  </si>
  <si>
    <t>Capital de trabajo neto</t>
  </si>
  <si>
    <t>INFORMACIÓN ADICIONAL</t>
  </si>
  <si>
    <r>
      <t xml:space="preserve">Razón </t>
    </r>
    <r>
      <rPr>
        <sz val="10"/>
        <rFont val="Arial"/>
        <family val="2"/>
      </rPr>
      <t xml:space="preserve">corriente o </t>
    </r>
    <r>
      <rPr>
        <sz val="10"/>
        <rFont val="Arial"/>
        <family val="2"/>
      </rPr>
      <t>circulante</t>
    </r>
  </si>
  <si>
    <t>DECISIONES DE INVERSIÓN</t>
  </si>
  <si>
    <t>DECISIONES DE FINANCIAMIENTO</t>
  </si>
  <si>
    <t>Efectivo y equivalente al efectivo</t>
  </si>
  <si>
    <t>Resultado por unidades de reajuste</t>
  </si>
  <si>
    <t>Acciones en circulación</t>
  </si>
  <si>
    <t>Rentabilidad sobre activos (ROA)</t>
  </si>
  <si>
    <t>Rentabilidad económica (ROI)</t>
  </si>
  <si>
    <t>Rentabilidad financiera (ROE)</t>
  </si>
  <si>
    <t>RATIOS DE ENDEUDAMIENTO</t>
  </si>
  <si>
    <t>Razón de deuda</t>
  </si>
  <si>
    <t>Razón deuda capital</t>
  </si>
  <si>
    <t>Multiplicador del capital</t>
  </si>
  <si>
    <t>Ratio de cobertura de intereses</t>
  </si>
  <si>
    <t>Pasivos corrientes + Pasivos no corrientes / Patrimonio</t>
  </si>
  <si>
    <t>COMPONENTES CUENTAS DEL ESTADO DE RESULTADOS</t>
  </si>
  <si>
    <t>INGRESOS DE ACTIVIDADES ORDINARIAS</t>
  </si>
  <si>
    <t>Dinero en cuentas corrientes bancarias</t>
  </si>
  <si>
    <t>Fondos mutuos</t>
  </si>
  <si>
    <t>Otros activos financieros corrientes</t>
  </si>
  <si>
    <t>COSTO DE VENTAS</t>
  </si>
  <si>
    <t>Depósitos a plazo superiores a 90 días</t>
  </si>
  <si>
    <t>Otros activos no financieros corrientes</t>
  </si>
  <si>
    <t>OTROS INGRESOS</t>
  </si>
  <si>
    <t>Deudores comerciales y otras cuentas por cobrar</t>
  </si>
  <si>
    <t>COSTOS DE DISTRIBUCIÓN</t>
  </si>
  <si>
    <t>GASTOS DE ADMINISTRACIÓN</t>
  </si>
  <si>
    <t>OTROS GASTOS</t>
  </si>
  <si>
    <t>Deudores varios</t>
  </si>
  <si>
    <t>INGRESOS FINANCIEROS</t>
  </si>
  <si>
    <t>COSTOS FINANCIEROS</t>
  </si>
  <si>
    <t>Intereses por préstamos bancarios</t>
  </si>
  <si>
    <t>DIFERENCIAS DE CAMBIO</t>
  </si>
  <si>
    <t>Acciones e inversiones en empresas relacionadas</t>
  </si>
  <si>
    <t>Derechos de agua</t>
  </si>
  <si>
    <t>Licencias computacionales</t>
  </si>
  <si>
    <t>Obras de arte</t>
  </si>
  <si>
    <t>Obligaciones por leasing</t>
  </si>
  <si>
    <t>Cuentas por pagar comerciales y otras cuentas por pagar, corrientes</t>
  </si>
  <si>
    <t>Proveedores</t>
  </si>
  <si>
    <t>Iva débito fiscal</t>
  </si>
  <si>
    <t>Préstamos bancarios a largo plazo</t>
  </si>
  <si>
    <t>Documentos por pagar</t>
  </si>
  <si>
    <t>Otras cuentas por pagar no corrientes</t>
  </si>
  <si>
    <t>Ganancia bruta</t>
  </si>
  <si>
    <t>Otros activos no financieros, corrientes</t>
  </si>
  <si>
    <t>TOTAL PASIVOS Y PATRIMONIO</t>
  </si>
  <si>
    <t>Rotación de las cuentas por cobrar</t>
  </si>
  <si>
    <t>Período promedio de cobranza</t>
  </si>
  <si>
    <t>Período promedio de pagos</t>
  </si>
  <si>
    <t>Rotación de activos fijos</t>
  </si>
  <si>
    <t>Rotación del activo total</t>
  </si>
  <si>
    <t>Var % o en puntos porcentuales (pp)</t>
  </si>
  <si>
    <t>pp</t>
  </si>
  <si>
    <t>Activos por impuestos diferidos</t>
  </si>
  <si>
    <t>RESULTADOS POR UNIDADES DE REAJUSTE</t>
  </si>
  <si>
    <t>Reajuste de préstamos</t>
  </si>
  <si>
    <t>Muebles y equipos</t>
  </si>
  <si>
    <t>Remanente de IVA crédito fiscal</t>
  </si>
  <si>
    <t>RATIOS DE VALOR DE MERCADO</t>
  </si>
  <si>
    <t>Valor libro de la acción</t>
  </si>
  <si>
    <t>M$</t>
  </si>
  <si>
    <t>Remuneraciones</t>
  </si>
  <si>
    <t>Material didáctico</t>
  </si>
  <si>
    <t>Servicios básicos</t>
  </si>
  <si>
    <t>Servicios externos</t>
  </si>
  <si>
    <t>Mantenciones</t>
  </si>
  <si>
    <t>Examen de admisión</t>
  </si>
  <si>
    <t>Pagos provisionales mensuales (PPM)</t>
  </si>
  <si>
    <t>Acreedores</t>
  </si>
  <si>
    <t>Matrículas anticipadas</t>
  </si>
  <si>
    <t>Cuotas de incorporación</t>
  </si>
  <si>
    <t>Matrículas</t>
  </si>
  <si>
    <t>Asesorías externas</t>
  </si>
  <si>
    <t>Período:</t>
  </si>
  <si>
    <t xml:space="preserve">Variación
act-ant
</t>
  </si>
  <si>
    <t xml:space="preserve">Dividendos por acción </t>
  </si>
  <si>
    <t xml:space="preserve">Precio de mercado de la acción </t>
  </si>
  <si>
    <t>Promedio inventarios</t>
  </si>
  <si>
    <t>Activos biológicos corrientes</t>
  </si>
  <si>
    <t>Otros activos corrientes</t>
  </si>
  <si>
    <t>Otros activos no financieros, no corrientes</t>
  </si>
  <si>
    <t>Deudores comerciales y otras cuentas por cobrar, no corrientes</t>
  </si>
  <si>
    <t>Cuentas por cobrar a entidades relacionadas no corrientes</t>
  </si>
  <si>
    <t>Inversiones contabilizadas (método de la participación)</t>
  </si>
  <si>
    <t>Plusvalía</t>
  </si>
  <si>
    <t>Propiedades planta y equipos</t>
  </si>
  <si>
    <t>Activos biológicos no corrientes</t>
  </si>
  <si>
    <t>Propiedades de inversión</t>
  </si>
  <si>
    <t>Cuentas por pagar a entidades relacionadas corrientes</t>
  </si>
  <si>
    <t>Otras provisiones corrientes</t>
  </si>
  <si>
    <t>Otros pasivos no financieros corrientes</t>
  </si>
  <si>
    <t>Otros pasivos corrientes</t>
  </si>
  <si>
    <t>Cuentas por pagar a entidades relacionadas no corrientes</t>
  </si>
  <si>
    <t>Otra provisiones no corrientes</t>
  </si>
  <si>
    <t>Pasivos por impuestos diferidos</t>
  </si>
  <si>
    <t>Otros pasivos no financieros, no corrientes</t>
  </si>
  <si>
    <t>Capital emitido</t>
  </si>
  <si>
    <t>Efectivo y equivalente al efectivo / Pasivos corrientes</t>
  </si>
  <si>
    <t>Promedio cuentas por pagar comerciales y otras cuentas por pagar</t>
  </si>
  <si>
    <t>Dinero en caja</t>
  </si>
  <si>
    <t>IVA crédito fiscal</t>
  </si>
  <si>
    <t>Crédito tributario por capacitación</t>
  </si>
  <si>
    <t>Material de oficina</t>
  </si>
  <si>
    <t>Inventarios</t>
  </si>
  <si>
    <t>Derechos por cobrar no corrientes</t>
  </si>
  <si>
    <t>Provisiones no corrientes por beneficios a los empleados no corrientes</t>
  </si>
  <si>
    <t>Ganancias o pérdidas acumuladas</t>
  </si>
  <si>
    <t>Variación pasivos Act-Ant</t>
  </si>
  <si>
    <t>Variación activos Act-Ant</t>
  </si>
  <si>
    <t>Costos de distribución o comercialización</t>
  </si>
  <si>
    <t>Precio de mercado de la acción / Utilidad por acción</t>
  </si>
  <si>
    <t>Rendimiento de los dividendos</t>
  </si>
  <si>
    <t>Dividendo por acción anuales / Precio de mercado de la acción</t>
  </si>
  <si>
    <t xml:space="preserve">Relación Bolsa / Libro </t>
  </si>
  <si>
    <t>Precio de mercado de la acción / Valor en libros de la acción</t>
  </si>
  <si>
    <t>Utilidad por acción</t>
  </si>
  <si>
    <t>Razón PER</t>
  </si>
  <si>
    <t>Rentabilidad del inversionista</t>
  </si>
  <si>
    <t>Dividendos por acción</t>
  </si>
  <si>
    <t>Dividendos pagados / Cantidad de acciones</t>
  </si>
  <si>
    <t>Ratio de distribución de utilidades</t>
  </si>
  <si>
    <t>$</t>
  </si>
  <si>
    <t>Dividendos provisorios</t>
  </si>
  <si>
    <r>
      <t xml:space="preserve">Observación: Ingresar datos solo en las celdas de </t>
    </r>
    <r>
      <rPr>
        <sz val="10"/>
        <color theme="1"/>
        <rFont val="Arial"/>
        <family val="2"/>
      </rPr>
      <t>color amarillo</t>
    </r>
  </si>
  <si>
    <t>Activos corrientes - Inventarios / Pasivos corrientes</t>
  </si>
  <si>
    <t>Ganancia o pérdida antes de impuestos e intereses</t>
  </si>
  <si>
    <t>Ingresos de actividades ordinarias o de operación</t>
  </si>
  <si>
    <t>Costos de venta o de operación</t>
  </si>
  <si>
    <t>Ingresos de actividades ordinarias / Promedio deudores comerciales y otras cuentas por cobrar</t>
  </si>
  <si>
    <t>Costo de ventas / Promedio de inventarios</t>
  </si>
  <si>
    <t>365 / Rotación de inventarios</t>
  </si>
  <si>
    <t>Ingresos de actividades ordinarias / Promedio de propiedades, planta y equipo</t>
  </si>
  <si>
    <t>Pasivos corrientes + Pasivos no corrientes / Activo total</t>
  </si>
  <si>
    <t>Activo total / Patrimonio</t>
  </si>
  <si>
    <t>Ganancia o pérdida antes de impuestos e intereses / Costos financieros</t>
  </si>
  <si>
    <t>Ganancia o pérdida antes de impuestos e intereses / Promedio activo total</t>
  </si>
  <si>
    <t>Ganancia bruta / Ingresos de actividades ordinarias</t>
  </si>
  <si>
    <t>Ganancia o pérdida antes de impuestos e intereses  / Ingresos de actividades ordinarias</t>
  </si>
  <si>
    <t>Ganancia o pérdida neta / Cantidad de acciones</t>
  </si>
  <si>
    <t>Ganancia o pérdida neta / Precio de mercado de la acción</t>
  </si>
  <si>
    <t>Dividendos pagados / Ganancia o pérdida neta</t>
  </si>
  <si>
    <t xml:space="preserve">Ganancia o pérdida neta </t>
  </si>
  <si>
    <t>Ganancias o pérdidas de actividades operacionales</t>
  </si>
  <si>
    <t>Ganancia o pérdida antes de impuestos</t>
  </si>
  <si>
    <t>Efectivo y equivalente al efectivo + Deudores comerciales y otras cuentas por cobrar/ (Costos de ventas + Costos de distribución + Gastos de administración) / 365</t>
  </si>
  <si>
    <t>Promedio deudores comerciales y otras cuentas por cobrar / (Ingresos de actividades ordinarias) / 365</t>
  </si>
  <si>
    <t>Promedio de Cuentas por pagar comerciales y otras cuentas por pagar / ((Costos de venta +(inventarios año actual – inventarios  año anterior)) / 365</t>
  </si>
  <si>
    <t>Ingresos de actividades ordinarias / Promedio activo total</t>
  </si>
  <si>
    <t>Ganancia o pérdida neta / Ingresos de actividades ordinarias</t>
  </si>
  <si>
    <t>Ganancia o pérdida neta / Patrimonio promedio</t>
  </si>
  <si>
    <t>Ganancia o pérdida neta / Promedio activo total</t>
  </si>
  <si>
    <t>Terrenos</t>
  </si>
  <si>
    <t>Acciones de otras sociedades</t>
  </si>
  <si>
    <t>Colegiaturas anticipadas</t>
  </si>
  <si>
    <t>Dividendos por pagar</t>
  </si>
  <si>
    <t>Provisión por bonos de desempeño</t>
  </si>
  <si>
    <t>Provisión por indemnizaciones al personal</t>
  </si>
  <si>
    <t>Ingresos por colegiatura</t>
  </si>
  <si>
    <t>Depreciación</t>
  </si>
  <si>
    <t>Intereses por fondos mutuos</t>
  </si>
  <si>
    <t>Intereses por depósitos a plazo</t>
  </si>
  <si>
    <t>Gastos financieros</t>
  </si>
  <si>
    <t>COMPONENTES DE ACTIVOS, PASIVOS Y CUENTAS DE RESULTADOS</t>
  </si>
  <si>
    <t>Edificios e instalaciones</t>
  </si>
  <si>
    <t>Promedio activo total</t>
  </si>
  <si>
    <t>Variación Act-Ant M$</t>
  </si>
  <si>
    <t>ESTADO DE SITUACIÓN FINANCIERA (MILES DE $)</t>
  </si>
  <si>
    <t>DEFINICIÓN DE RATIOS</t>
  </si>
  <si>
    <t>Días de venta en inventario</t>
  </si>
  <si>
    <t>Rotación del inventario</t>
  </si>
  <si>
    <t>RATIOS DE ACTIVIDAD O DE USO DE ACTIVOS</t>
  </si>
  <si>
    <t>Observación: Ingresar datos solo en las celdas de color amarillo, las restantes con fórmulas están protegidas.</t>
  </si>
  <si>
    <t>Entidad:</t>
  </si>
  <si>
    <t>PLANILLA PARA ANÁLISIS FINANCIERO DE EMPRESAS</t>
  </si>
  <si>
    <t>Préstamos bancarios</t>
  </si>
  <si>
    <t>Otros impuestos</t>
  </si>
  <si>
    <t>Ingresos por ventas</t>
  </si>
  <si>
    <t>Ingresos anticipados por ventas</t>
  </si>
  <si>
    <t>Becas recibidas por asignar</t>
  </si>
  <si>
    <t>Libros de textos para la venta</t>
  </si>
  <si>
    <t>Ingresos diferidos por programas y proyectosaranceles</t>
  </si>
  <si>
    <t>Ingresos anticipados no corrientes</t>
  </si>
  <si>
    <t>Depósitos a plazo iguales o menores }a 90 días</t>
  </si>
  <si>
    <t>Algunos ejemplos relacionados con instituciones de educación:</t>
  </si>
  <si>
    <t>Arriendos anticipados</t>
  </si>
  <si>
    <t>Seguros anticipados</t>
  </si>
  <si>
    <t>Anticipo a proveedores</t>
  </si>
  <si>
    <t>Deudores por aranceles</t>
  </si>
  <si>
    <t>Deudores por becas</t>
  </si>
  <si>
    <t>Deudores por créditos</t>
  </si>
  <si>
    <t>Cuentas por cobrar a empresas relacionadas</t>
  </si>
  <si>
    <t>Bonos</t>
  </si>
  <si>
    <t>Documentos en garantía</t>
  </si>
  <si>
    <t>Equipos computacionales</t>
  </si>
  <si>
    <t>Vehículos</t>
  </si>
  <si>
    <t>Depreciación acumulada (-)</t>
  </si>
  <si>
    <t>Edificaciones y terrenos</t>
  </si>
  <si>
    <t>Remuneraciones por pagar</t>
  </si>
  <si>
    <t>Provisiones por incentivos al retiro</t>
  </si>
  <si>
    <t>Provisiones por vacaciones</t>
  </si>
  <si>
    <t>Seguros por pagar</t>
  </si>
  <si>
    <r>
      <t xml:space="preserve">Esta planilla Excel fue diseñada para generar automáticamente razones financieras (ratios), que permitan apreciar el nivel y el comportamiento de las siguientes variables de gestión: liquidez, utilización de los activos, endeudamiento, rentabilidad y valor de mercado de la organización.
Para generar esas ratios solo se deben ingresar los datos del Balance General en la hoja </t>
    </r>
    <r>
      <rPr>
        <i/>
        <sz val="14"/>
        <rFont val="Arial"/>
        <family val="2"/>
      </rPr>
      <t>Balance</t>
    </r>
    <r>
      <rPr>
        <sz val="14"/>
        <rFont val="Arial"/>
        <family val="2"/>
      </rPr>
      <t xml:space="preserve"> y los del Estado de Resultados en la hoja </t>
    </r>
    <r>
      <rPr>
        <i/>
        <sz val="14"/>
        <rFont val="Arial"/>
        <family val="2"/>
      </rPr>
      <t>Resultados</t>
    </r>
    <r>
      <rPr>
        <sz val="14"/>
        <rFont val="Arial"/>
        <family val="2"/>
      </rPr>
      <t xml:space="preserve">. Dicho ingreso debe hacerse en las celdas de </t>
    </r>
    <r>
      <rPr>
        <i/>
        <sz val="16"/>
        <rFont val="Arial"/>
        <family val="2"/>
      </rPr>
      <t>color amarillo</t>
    </r>
    <r>
      <rPr>
        <sz val="14"/>
        <rFont val="Arial"/>
        <family val="2"/>
      </rPr>
      <t xml:space="preserve">, ya que las restantes contienen fórmulas y están protegidas.
La razones financieras generadas automáticamente y que permiten medir esas variables están en la hoja </t>
    </r>
    <r>
      <rPr>
        <i/>
        <sz val="14"/>
        <rFont val="Arial"/>
        <family val="2"/>
      </rPr>
      <t>Ratios</t>
    </r>
    <r>
      <rPr>
        <sz val="14"/>
        <rFont val="Arial"/>
        <family val="2"/>
      </rPr>
      <t xml:space="preserve">.
Los ítems más frecuentes que integran los rubros de esos estados contables están en la hoja </t>
    </r>
    <r>
      <rPr>
        <i/>
        <sz val="14"/>
        <rFont val="Arial"/>
        <family val="2"/>
      </rPr>
      <t>Rubros componentes</t>
    </r>
    <r>
      <rPr>
        <sz val="14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</si>
</sst>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_-;\-* #,##0_-;_-* &quot;-&quot;_-;_-@_-"/>
    <numFmt numFmtId="165" formatCode="#,##0;[Red]\(#,##0\)"/>
    <numFmt numFmtId="166" formatCode="#,##0\ ;[Red]\(#,##0\)"/>
    <numFmt numFmtId="167" formatCode="d/m/yy"/>
    <numFmt numFmtId="168" formatCode="0.0%"/>
    <numFmt numFmtId="169" formatCode="#,##0.00\ ;[Red]\(#,##0.00\)"/>
    <numFmt numFmtId="170" formatCode="#,##0.0\ ;[Red]\(#,##0.0\)"/>
    <numFmt numFmtId="171" formatCode="#,##0.0;[Red]\(#,##0.0\)"/>
    <numFmt numFmtId="172" formatCode="dd/mm/yyyy;@"/>
    <numFmt numFmtId="173" formatCode="_-* #,##0.0_-;\-* #,##0.0_-;_-* &quot;-&quot;_-;_-@_-"/>
    <numFmt numFmtId="174" formatCode="#,##0.000;[Red]\(#,##0.000\)"/>
  </numFmts>
  <fonts count="2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b/>
      <sz val="8"/>
      <name val="Arial"/>
      <family val="2"/>
      <charset val="204"/>
    </font>
    <font>
      <sz val="8"/>
      <name val="Calibri,Bold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  <charset val="204"/>
    </font>
    <font>
      <b/>
      <sz val="7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31">
    <xf numFmtId="0" fontId="0" fillId="0" borderId="0" xfId="0"/>
    <xf numFmtId="0" fontId="7" fillId="0" borderId="0" xfId="0" applyFont="1"/>
    <xf numFmtId="0" fontId="1" fillId="0" borderId="0" xfId="0" applyFont="1"/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9" fontId="2" fillId="0" borderId="0" xfId="2" applyFont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172" fontId="5" fillId="5" borderId="4" xfId="0" applyNumberFormat="1" applyFont="1" applyFill="1" applyBorder="1" applyAlignment="1" applyProtection="1">
      <alignment horizontal="center"/>
      <protection locked="0"/>
    </xf>
    <xf numFmtId="14" fontId="15" fillId="0" borderId="4" xfId="0" applyNumberFormat="1" applyFont="1" applyBorder="1" applyAlignment="1" applyProtection="1">
      <alignment horizontal="center"/>
      <protection locked="0"/>
    </xf>
    <xf numFmtId="172" fontId="15" fillId="5" borderId="4" xfId="0" applyNumberFormat="1" applyFont="1" applyFill="1" applyBorder="1" applyAlignment="1" applyProtection="1">
      <alignment horizontal="center"/>
      <protection locked="0"/>
    </xf>
    <xf numFmtId="172" fontId="5" fillId="0" borderId="2" xfId="0" applyNumberFormat="1" applyFont="1" applyBorder="1" applyAlignment="1" applyProtection="1">
      <alignment horizontal="center" vertical="center" wrapText="1"/>
      <protection locked="0"/>
    </xf>
    <xf numFmtId="172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Protection="1">
      <protection locked="0"/>
    </xf>
    <xf numFmtId="165" fontId="5" fillId="4" borderId="4" xfId="0" applyNumberFormat="1" applyFont="1" applyFill="1" applyBorder="1" applyProtection="1">
      <protection locked="0"/>
    </xf>
    <xf numFmtId="165" fontId="15" fillId="4" borderId="4" xfId="0" applyNumberFormat="1" applyFont="1" applyFill="1" applyBorder="1" applyProtection="1">
      <protection locked="0"/>
    </xf>
    <xf numFmtId="0" fontId="2" fillId="0" borderId="4" xfId="0" applyFont="1" applyBorder="1" applyProtection="1">
      <protection locked="0"/>
    </xf>
    <xf numFmtId="3" fontId="6" fillId="5" borderId="4" xfId="0" applyNumberFormat="1" applyFont="1" applyFill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5" borderId="4" xfId="0" applyFont="1" applyFill="1" applyBorder="1" applyProtection="1">
      <protection locked="0"/>
    </xf>
    <xf numFmtId="49" fontId="2" fillId="0" borderId="4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165" fontId="5" fillId="0" borderId="1" xfId="0" applyNumberFormat="1" applyFont="1" applyBorder="1" applyProtection="1">
      <protection locked="0"/>
    </xf>
    <xf numFmtId="168" fontId="5" fillId="0" borderId="0" xfId="2" applyNumberFormat="1" applyFont="1" applyFill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168" fontId="5" fillId="0" borderId="3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5" fontId="5" fillId="0" borderId="0" xfId="0" applyNumberFormat="1" applyFont="1" applyProtection="1">
      <protection locked="0"/>
    </xf>
    <xf numFmtId="168" fontId="2" fillId="0" borderId="0" xfId="2" applyNumberFormat="1" applyFont="1" applyProtection="1">
      <protection locked="0"/>
    </xf>
    <xf numFmtId="168" fontId="15" fillId="4" borderId="4" xfId="2" applyNumberFormat="1" applyFont="1" applyFill="1" applyBorder="1" applyProtection="1"/>
    <xf numFmtId="168" fontId="10" fillId="0" borderId="4" xfId="2" applyNumberFormat="1" applyFont="1" applyFill="1" applyBorder="1" applyProtection="1"/>
    <xf numFmtId="168" fontId="2" fillId="0" borderId="4" xfId="2" applyNumberFormat="1" applyFont="1" applyBorder="1" applyProtection="1"/>
    <xf numFmtId="168" fontId="5" fillId="4" borderId="4" xfId="2" applyNumberFormat="1" applyFont="1" applyFill="1" applyBorder="1" applyProtection="1"/>
    <xf numFmtId="168" fontId="2" fillId="0" borderId="4" xfId="2" applyNumberFormat="1" applyFont="1" applyFill="1" applyBorder="1" applyProtection="1"/>
    <xf numFmtId="168" fontId="2" fillId="0" borderId="1" xfId="2" applyNumberFormat="1" applyFont="1" applyBorder="1" applyProtection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172" fontId="5" fillId="0" borderId="5" xfId="0" applyNumberFormat="1" applyFont="1" applyBorder="1" applyAlignment="1" applyProtection="1">
      <alignment horizontal="center"/>
      <protection locked="0"/>
    </xf>
    <xf numFmtId="167" fontId="5" fillId="0" borderId="5" xfId="0" applyNumberFormat="1" applyFont="1" applyBorder="1" applyAlignment="1" applyProtection="1">
      <alignment horizontal="center"/>
      <protection locked="0"/>
    </xf>
    <xf numFmtId="3" fontId="2" fillId="5" borderId="4" xfId="0" applyNumberFormat="1" applyFont="1" applyFill="1" applyBorder="1" applyProtection="1">
      <protection locked="0"/>
    </xf>
    <xf numFmtId="166" fontId="5" fillId="4" borderId="4" xfId="0" applyNumberFormat="1" applyFont="1" applyFill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0" fontId="5" fillId="0" borderId="7" xfId="0" applyFont="1" applyBorder="1" applyProtection="1">
      <protection locked="0"/>
    </xf>
    <xf numFmtId="168" fontId="5" fillId="0" borderId="0" xfId="2" applyNumberFormat="1" applyFont="1" applyBorder="1" applyProtection="1">
      <protection locked="0"/>
    </xf>
    <xf numFmtId="173" fontId="5" fillId="0" borderId="0" xfId="1" applyNumberFormat="1" applyFont="1" applyFill="1" applyBorder="1" applyProtection="1">
      <protection locked="0"/>
    </xf>
    <xf numFmtId="0" fontId="2" fillId="0" borderId="9" xfId="0" applyFont="1" applyBorder="1" applyProtection="1">
      <protection locked="0"/>
    </xf>
    <xf numFmtId="165" fontId="2" fillId="5" borderId="3" xfId="0" applyNumberFormat="1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165" fontId="2" fillId="0" borderId="0" xfId="0" applyNumberFormat="1" applyFont="1" applyProtection="1">
      <protection locked="0"/>
    </xf>
    <xf numFmtId="174" fontId="2" fillId="5" borderId="1" xfId="0" applyNumberFormat="1" applyFont="1" applyFill="1" applyBorder="1" applyProtection="1">
      <protection locked="0"/>
    </xf>
    <xf numFmtId="173" fontId="2" fillId="5" borderId="1" xfId="1" applyNumberFormat="1" applyFont="1" applyFill="1" applyBorder="1" applyProtection="1">
      <protection locked="0"/>
    </xf>
    <xf numFmtId="171" fontId="2" fillId="5" borderId="1" xfId="0" applyNumberFormat="1" applyFont="1" applyFill="1" applyBorder="1" applyProtection="1">
      <protection locked="0"/>
    </xf>
    <xf numFmtId="171" fontId="2" fillId="0" borderId="0" xfId="0" applyNumberFormat="1" applyFont="1" applyProtection="1">
      <protection locked="0"/>
    </xf>
    <xf numFmtId="0" fontId="2" fillId="0" borderId="8" xfId="0" applyFont="1" applyBorder="1" applyProtection="1">
      <protection locked="0"/>
    </xf>
    <xf numFmtId="171" fontId="2" fillId="5" borderId="5" xfId="0" applyNumberFormat="1" applyFont="1" applyFill="1" applyBorder="1" applyProtection="1">
      <protection locked="0"/>
    </xf>
    <xf numFmtId="171" fontId="2" fillId="0" borderId="13" xfId="0" applyNumberFormat="1" applyFont="1" applyBorder="1" applyProtection="1">
      <protection locked="0"/>
    </xf>
    <xf numFmtId="166" fontId="0" fillId="0" borderId="0" xfId="0" applyNumberFormat="1" applyProtection="1">
      <protection locked="0"/>
    </xf>
    <xf numFmtId="168" fontId="2" fillId="4" borderId="4" xfId="2" applyNumberFormat="1" applyFont="1" applyFill="1" applyBorder="1" applyProtection="1"/>
    <xf numFmtId="168" fontId="5" fillId="0" borderId="4" xfId="2" applyNumberFormat="1" applyFont="1" applyFill="1" applyBorder="1" applyProtection="1"/>
    <xf numFmtId="0" fontId="7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172" fontId="7" fillId="0" borderId="4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7" fillId="0" borderId="3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7" fillId="0" borderId="4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166" fontId="3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168" fontId="4" fillId="0" borderId="4" xfId="2" applyNumberFormat="1" applyFont="1" applyFill="1" applyBorder="1" applyAlignment="1" applyProtection="1">
      <alignment vertical="center"/>
    </xf>
    <xf numFmtId="173" fontId="1" fillId="0" borderId="4" xfId="1" applyNumberFormat="1" applyFont="1" applyFill="1" applyBorder="1" applyAlignment="1" applyProtection="1">
      <alignment vertical="center"/>
    </xf>
    <xf numFmtId="168" fontId="1" fillId="0" borderId="4" xfId="2" applyNumberFormat="1" applyFont="1" applyBorder="1" applyAlignment="1" applyProtection="1">
      <alignment vertical="center"/>
    </xf>
    <xf numFmtId="168" fontId="1" fillId="0" borderId="4" xfId="2" applyNumberFormat="1" applyFont="1" applyFill="1" applyBorder="1" applyAlignment="1" applyProtection="1">
      <alignment vertical="center"/>
    </xf>
    <xf numFmtId="172" fontId="5" fillId="0" borderId="3" xfId="0" applyNumberFormat="1" applyFont="1" applyBorder="1" applyAlignment="1" applyProtection="1">
      <alignment horizontal="center"/>
      <protection locked="0"/>
    </xf>
    <xf numFmtId="165" fontId="2" fillId="0" borderId="4" xfId="0" applyNumberFormat="1" applyFont="1" applyBorder="1"/>
    <xf numFmtId="0" fontId="2" fillId="0" borderId="4" xfId="0" applyFont="1" applyBorder="1"/>
    <xf numFmtId="168" fontId="2" fillId="0" borderId="5" xfId="2" applyNumberFormat="1" applyFont="1" applyBorder="1" applyProtection="1"/>
    <xf numFmtId="166" fontId="4" fillId="0" borderId="4" xfId="0" applyNumberFormat="1" applyFont="1" applyBorder="1" applyAlignment="1">
      <alignment vertical="center"/>
    </xf>
    <xf numFmtId="169" fontId="4" fillId="0" borderId="4" xfId="0" applyNumberFormat="1" applyFont="1" applyBorder="1" applyAlignment="1">
      <alignment vertical="center"/>
    </xf>
    <xf numFmtId="170" fontId="4" fillId="0" borderId="4" xfId="0" applyNumberFormat="1" applyFont="1" applyBorder="1" applyAlignment="1">
      <alignment vertical="center"/>
    </xf>
    <xf numFmtId="170" fontId="11" fillId="0" borderId="4" xfId="0" applyNumberFormat="1" applyFont="1" applyBorder="1" applyAlignment="1">
      <alignment vertical="center"/>
    </xf>
    <xf numFmtId="169" fontId="11" fillId="0" borderId="4" xfId="0" applyNumberFormat="1" applyFont="1" applyBorder="1" applyAlignment="1">
      <alignment vertical="center"/>
    </xf>
    <xf numFmtId="169" fontId="12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9" fontId="1" fillId="0" borderId="4" xfId="0" applyNumberFormat="1" applyFont="1" applyBorder="1" applyAlignment="1">
      <alignment vertical="center"/>
    </xf>
    <xf numFmtId="170" fontId="1" fillId="0" borderId="4" xfId="0" applyNumberFormat="1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</cellXfs>
  <cellStyles count="17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o%20Jos&#233;%20Santic/My%20Documents/Mis%20documentos/SVS%20consolidado/FICHA%20MODELO%20Consolidado_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activos"/>
      <sheetName val="pasivos"/>
      <sheetName val="activos re"/>
      <sheetName val="pasivos re"/>
      <sheetName val="resultados"/>
      <sheetName val="resultados re"/>
      <sheetName val="Flujo efectivo"/>
      <sheetName val="Indicadores"/>
      <sheetName val="Indicadores re"/>
    </sheetNames>
    <sheetDataSet>
      <sheetData sheetId="0"/>
      <sheetData sheetId="1">
        <row r="5">
          <cell r="C5">
            <v>95358000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5A97-DB44-4D70-B1E9-89EEE876A3EB}">
  <dimension ref="A1:A3"/>
  <sheetViews>
    <sheetView tabSelected="1" workbookViewId="0"/>
  </sheetViews>
  <sheetFormatPr baseColWidth="10" defaultRowHeight="12.5"/>
  <cols>
    <col min="1" max="1" width="152.6328125" customWidth="1"/>
  </cols>
  <sheetData>
    <row r="1" spans="1:1" ht="23.5" customHeight="1">
      <c r="A1" s="113" t="s">
        <v>236</v>
      </c>
    </row>
    <row r="3" spans="1:1" ht="195.5">
      <c r="A3" s="112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opLeftCell="A2" zoomScale="114" zoomScaleNormal="114" zoomScalePageLayoutView="150" workbookViewId="0">
      <selection activeCell="A3" sqref="A3:T3"/>
    </sheetView>
  </sheetViews>
  <sheetFormatPr baseColWidth="10" defaultColWidth="11.453125" defaultRowHeight="10"/>
  <cols>
    <col min="1" max="1" width="27.453125" style="4" bestFit="1" customWidth="1"/>
    <col min="2" max="2" width="12.90625" style="4" bestFit="1" customWidth="1"/>
    <col min="3" max="3" width="6.90625" style="4" bestFit="1" customWidth="1"/>
    <col min="4" max="4" width="10.08984375" style="4" bestFit="1" customWidth="1"/>
    <col min="5" max="5" width="6.453125" style="4" customWidth="1"/>
    <col min="6" max="6" width="10" style="4" customWidth="1"/>
    <col min="7" max="7" width="6.90625" style="4" bestFit="1" customWidth="1"/>
    <col min="8" max="8" width="9.08984375" style="4" bestFit="1" customWidth="1"/>
    <col min="9" max="9" width="6.90625" style="4" customWidth="1"/>
    <col min="10" max="10" width="8" style="4" customWidth="1"/>
    <col min="11" max="11" width="29.81640625" style="4" bestFit="1" customWidth="1"/>
    <col min="12" max="12" width="10.08984375" style="4" bestFit="1" customWidth="1"/>
    <col min="13" max="13" width="7" style="4" bestFit="1" customWidth="1"/>
    <col min="14" max="14" width="10.08984375" style="4" bestFit="1" customWidth="1"/>
    <col min="15" max="15" width="6.453125" style="4" bestFit="1" customWidth="1"/>
    <col min="16" max="16" width="8.90625" style="4" bestFit="1" customWidth="1"/>
    <col min="17" max="17" width="6.90625" style="4" bestFit="1" customWidth="1"/>
    <col min="18" max="18" width="9.08984375" style="4" bestFit="1" customWidth="1"/>
    <col min="19" max="19" width="6.90625" style="4" customWidth="1"/>
    <col min="20" max="20" width="8.54296875" style="4" bestFit="1" customWidth="1"/>
    <col min="21" max="16384" width="11.453125" style="4"/>
  </cols>
  <sheetData>
    <row r="1" spans="1:20" ht="23" customHeight="1">
      <c r="A1" s="114" t="s">
        <v>17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1:20" ht="10.5">
      <c r="A2" s="3"/>
      <c r="B2" s="3"/>
      <c r="C2" s="3"/>
      <c r="D2" s="3"/>
      <c r="E2" s="3"/>
      <c r="F2" s="3"/>
      <c r="G2" s="3"/>
      <c r="H2" s="3"/>
      <c r="I2" s="3"/>
      <c r="K2" s="3"/>
      <c r="L2" s="3"/>
      <c r="M2" s="3"/>
      <c r="N2" s="3"/>
      <c r="O2" s="3"/>
    </row>
    <row r="3" spans="1:20" ht="10.5">
      <c r="A3" s="114" t="s">
        <v>229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</row>
    <row r="4" spans="1:20" ht="10.5">
      <c r="A4" s="114" t="s">
        <v>235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1:20" ht="10.5">
      <c r="A5" s="115" t="s">
        <v>136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1:20" ht="17.5">
      <c r="A6" s="5" t="s">
        <v>234</v>
      </c>
      <c r="B6" s="6"/>
      <c r="D6" s="6"/>
      <c r="E6" s="6"/>
      <c r="F6" s="6"/>
      <c r="G6" s="6"/>
      <c r="H6" s="6"/>
      <c r="I6" s="6"/>
      <c r="J6" s="6"/>
      <c r="K6" s="6"/>
      <c r="L6" s="7"/>
      <c r="M6" s="7"/>
      <c r="N6" s="7"/>
      <c r="O6" s="6"/>
      <c r="P6" s="6"/>
      <c r="Q6" s="6"/>
      <c r="R6" s="6"/>
      <c r="S6" s="6"/>
      <c r="T6" s="6"/>
    </row>
    <row r="7" spans="1:20" ht="10.5">
      <c r="A7" s="116" t="s">
        <v>63</v>
      </c>
      <c r="B7" s="117"/>
      <c r="C7" s="117"/>
      <c r="D7" s="117"/>
      <c r="E7" s="117"/>
      <c r="F7" s="117"/>
      <c r="G7" s="117"/>
      <c r="H7" s="117"/>
      <c r="I7" s="117"/>
      <c r="J7" s="118"/>
      <c r="K7" s="119" t="s">
        <v>64</v>
      </c>
      <c r="L7" s="120"/>
      <c r="M7" s="120"/>
      <c r="N7" s="120"/>
      <c r="O7" s="120"/>
      <c r="P7" s="120"/>
      <c r="Q7" s="120"/>
      <c r="R7" s="120"/>
      <c r="S7" s="120"/>
      <c r="T7" s="121"/>
    </row>
    <row r="8" spans="1:20" ht="31.5">
      <c r="A8" s="8" t="s">
        <v>0</v>
      </c>
      <c r="B8" s="10">
        <v>45291</v>
      </c>
      <c r="C8" s="11" t="s">
        <v>6</v>
      </c>
      <c r="D8" s="12">
        <v>44926</v>
      </c>
      <c r="E8" s="11" t="s">
        <v>6</v>
      </c>
      <c r="F8" s="12">
        <v>44561</v>
      </c>
      <c r="G8" s="11" t="s">
        <v>6</v>
      </c>
      <c r="H8" s="12">
        <v>44196</v>
      </c>
      <c r="I8" s="11" t="s">
        <v>6</v>
      </c>
      <c r="J8" s="13" t="s">
        <v>171</v>
      </c>
      <c r="K8" s="9" t="s">
        <v>1</v>
      </c>
      <c r="L8" s="10">
        <f>+B8</f>
        <v>45291</v>
      </c>
      <c r="M8" s="11" t="s">
        <v>6</v>
      </c>
      <c r="N8" s="12">
        <f>+D8</f>
        <v>44926</v>
      </c>
      <c r="O8" s="11" t="s">
        <v>6</v>
      </c>
      <c r="P8" s="12">
        <f>+F8</f>
        <v>44561</v>
      </c>
      <c r="Q8" s="11" t="s">
        <v>6</v>
      </c>
      <c r="R8" s="12">
        <f>+H8</f>
        <v>44196</v>
      </c>
      <c r="S8" s="11" t="s">
        <v>6</v>
      </c>
      <c r="T8" s="14" t="s">
        <v>170</v>
      </c>
    </row>
    <row r="9" spans="1:20" ht="20" customHeight="1">
      <c r="A9" s="15" t="s">
        <v>28</v>
      </c>
      <c r="B9" s="16">
        <f>SUM(B10:B18)</f>
        <v>8053384</v>
      </c>
      <c r="C9" s="32">
        <f t="shared" ref="C9:C30" si="0">IF($B$36=0,"",B9/$B$36)</f>
        <v>0.21898030685147546</v>
      </c>
      <c r="D9" s="16">
        <f>SUM(D10:D18)</f>
        <v>8603667</v>
      </c>
      <c r="E9" s="32">
        <f t="shared" ref="E9:E29" si="1">IF($D$36=0,"",D9/$D$36)</f>
        <v>0.24161484832942309</v>
      </c>
      <c r="F9" s="17">
        <f>SUM(F10:F18)</f>
        <v>7786098</v>
      </c>
      <c r="G9" s="32">
        <f t="shared" ref="G9:G36" si="2">IF($F$36=0,"",F9/$F$36)</f>
        <v>0.22785478241883389</v>
      </c>
      <c r="H9" s="17">
        <f>SUM(H10:H18)</f>
        <v>5631221</v>
      </c>
      <c r="I9" s="32">
        <f>H9/$H$36</f>
        <v>0.30669065342587681</v>
      </c>
      <c r="J9" s="35">
        <f t="shared" ref="J9:J36" si="3">IF(D9=0,"",B9/D9-1)</f>
        <v>-6.3959123476071356E-2</v>
      </c>
      <c r="K9" s="15" t="s">
        <v>33</v>
      </c>
      <c r="L9" s="17">
        <f>SUM(L10:L18)</f>
        <v>8844123</v>
      </c>
      <c r="M9" s="32">
        <f t="shared" ref="M9:M14" si="4">IF($L$36=0,"",L9/$L$36)</f>
        <v>0.24048136390518465</v>
      </c>
      <c r="N9" s="17">
        <f>SUM(N10:N18)</f>
        <v>8638582</v>
      </c>
      <c r="O9" s="32">
        <f t="shared" ref="O9:O21" si="5">IF($N$36=0,"",N9/$N$36)</f>
        <v>0.2425953584339427</v>
      </c>
      <c r="P9" s="17">
        <f>SUM(P10:P18)</f>
        <v>8278848</v>
      </c>
      <c r="Q9" s="32">
        <f t="shared" ref="Q9:Q21" si="6">IF($P$36=0,"",P9/$P$36)</f>
        <v>0.24227477097239183</v>
      </c>
      <c r="R9" s="17">
        <f>SUM(R10:R18)</f>
        <v>8041801</v>
      </c>
      <c r="S9" s="32">
        <f>R9/$R$36</f>
        <v>0.43797698641393573</v>
      </c>
      <c r="T9" s="32">
        <f>IF(N9=0,"",L9/N9-1)</f>
        <v>2.3793372569711035E-2</v>
      </c>
    </row>
    <row r="10" spans="1:20" ht="20" customHeight="1">
      <c r="A10" s="18" t="s">
        <v>65</v>
      </c>
      <c r="B10" s="19">
        <v>6385663</v>
      </c>
      <c r="C10" s="33">
        <f t="shared" si="0"/>
        <v>0.17363315137960805</v>
      </c>
      <c r="D10" s="19">
        <v>7478107</v>
      </c>
      <c r="E10" s="33">
        <f t="shared" si="1"/>
        <v>0.2100059996041452</v>
      </c>
      <c r="F10" s="19">
        <v>6508723</v>
      </c>
      <c r="G10" s="34">
        <f t="shared" si="2"/>
        <v>0.19047328494830915</v>
      </c>
      <c r="H10" s="19">
        <v>4548090</v>
      </c>
      <c r="I10" s="34">
        <f t="shared" ref="I10:I36" si="7">H10/$H$36</f>
        <v>0.2477005775372155</v>
      </c>
      <c r="J10" s="34">
        <f t="shared" si="3"/>
        <v>-0.14608563370382366</v>
      </c>
      <c r="K10" s="18" t="s">
        <v>32</v>
      </c>
      <c r="L10" s="19">
        <v>1035686</v>
      </c>
      <c r="M10" s="36">
        <f t="shared" si="4"/>
        <v>2.816143351438069E-2</v>
      </c>
      <c r="N10" s="19">
        <v>1216699</v>
      </c>
      <c r="O10" s="36">
        <f t="shared" si="5"/>
        <v>3.4168284796187574E-2</v>
      </c>
      <c r="P10" s="19">
        <v>1081857</v>
      </c>
      <c r="Q10" s="34">
        <f t="shared" si="6"/>
        <v>3.1659798186882873E-2</v>
      </c>
      <c r="R10" s="19">
        <v>420314</v>
      </c>
      <c r="S10" s="34">
        <f t="shared" ref="S10:S36" si="8">R10/$R$36</f>
        <v>2.2891372102789784E-2</v>
      </c>
      <c r="T10" s="37">
        <f t="shared" ref="T10:T36" si="9">IF(N10=0,"",L10/N10-1)</f>
        <v>-0.1487738545030447</v>
      </c>
    </row>
    <row r="11" spans="1:20" ht="20" customHeight="1">
      <c r="A11" s="18" t="s">
        <v>27</v>
      </c>
      <c r="B11" s="19">
        <v>0</v>
      </c>
      <c r="C11" s="33">
        <f t="shared" si="0"/>
        <v>0</v>
      </c>
      <c r="D11" s="19">
        <v>0</v>
      </c>
      <c r="E11" s="33">
        <f t="shared" si="1"/>
        <v>0</v>
      </c>
      <c r="F11" s="19">
        <v>0</v>
      </c>
      <c r="G11" s="34">
        <f t="shared" si="2"/>
        <v>0</v>
      </c>
      <c r="H11" s="19">
        <v>0</v>
      </c>
      <c r="I11" s="34">
        <f t="shared" si="7"/>
        <v>0</v>
      </c>
      <c r="J11" s="34" t="str">
        <f t="shared" si="3"/>
        <v/>
      </c>
      <c r="K11" s="20" t="s">
        <v>100</v>
      </c>
      <c r="L11" s="19">
        <v>3427147</v>
      </c>
      <c r="M11" s="36">
        <f t="shared" si="4"/>
        <v>9.3187870053770383E-2</v>
      </c>
      <c r="N11" s="19">
        <v>2974021</v>
      </c>
      <c r="O11" s="36">
        <f>IF($N$36=0,"",N11/$N$36)</f>
        <v>8.3518763899569706E-2</v>
      </c>
      <c r="P11" s="19">
        <v>3109554</v>
      </c>
      <c r="Q11" s="34">
        <f>IF($P$36=0,"",P11/$P$36)</f>
        <v>9.0998950962293906E-2</v>
      </c>
      <c r="R11" s="19">
        <v>1918532</v>
      </c>
      <c r="S11" s="34">
        <f t="shared" si="8"/>
        <v>0.10448814434710595</v>
      </c>
      <c r="T11" s="37">
        <f>IF(N11=0,"",L11/N11-1)</f>
        <v>0.15236139892757983</v>
      </c>
    </row>
    <row r="12" spans="1:20" ht="20" customHeight="1">
      <c r="A12" s="18" t="s">
        <v>107</v>
      </c>
      <c r="B12" s="19">
        <v>0</v>
      </c>
      <c r="C12" s="33">
        <f t="shared" si="0"/>
        <v>0</v>
      </c>
      <c r="D12" s="19">
        <v>0</v>
      </c>
      <c r="E12" s="33">
        <f t="shared" si="1"/>
        <v>0</v>
      </c>
      <c r="F12" s="19">
        <v>0</v>
      </c>
      <c r="G12" s="34">
        <f t="shared" si="2"/>
        <v>0</v>
      </c>
      <c r="H12" s="19">
        <v>0</v>
      </c>
      <c r="I12" s="34">
        <f t="shared" si="7"/>
        <v>0</v>
      </c>
      <c r="J12" s="34" t="str">
        <f t="shared" si="3"/>
        <v/>
      </c>
      <c r="K12" s="20" t="s">
        <v>151</v>
      </c>
      <c r="L12" s="19">
        <v>0</v>
      </c>
      <c r="M12" s="36">
        <f t="shared" si="4"/>
        <v>0</v>
      </c>
      <c r="N12" s="19">
        <v>0</v>
      </c>
      <c r="O12" s="36">
        <f>IF($N$36=0,"",N12/$N$36)</f>
        <v>0</v>
      </c>
      <c r="P12" s="19">
        <v>0</v>
      </c>
      <c r="Q12" s="34">
        <f>IF($P$36=0,"",P12/$P$36)</f>
        <v>0</v>
      </c>
      <c r="R12" s="19">
        <v>1702133</v>
      </c>
      <c r="S12" s="34">
        <f t="shared" si="8"/>
        <v>9.2702503060659136E-2</v>
      </c>
      <c r="T12" s="37" t="str">
        <f>IF(N12=0,"",L12/N12-1)</f>
        <v/>
      </c>
    </row>
    <row r="13" spans="1:20" ht="24" customHeight="1">
      <c r="A13" s="20" t="s">
        <v>54</v>
      </c>
      <c r="B13" s="19">
        <v>1606776</v>
      </c>
      <c r="C13" s="33">
        <f t="shared" si="0"/>
        <v>4.3689994357848372E-2</v>
      </c>
      <c r="D13" s="19">
        <v>1089550</v>
      </c>
      <c r="E13" s="33">
        <f t="shared" si="1"/>
        <v>3.0597587981650489E-2</v>
      </c>
      <c r="F13" s="19">
        <v>973013</v>
      </c>
      <c r="G13" s="34">
        <f t="shared" si="2"/>
        <v>2.847455367318737E-2</v>
      </c>
      <c r="H13" s="19">
        <v>1057603</v>
      </c>
      <c r="I13" s="34">
        <f t="shared" si="7"/>
        <v>5.7599755920637388E-2</v>
      </c>
      <c r="J13" s="34">
        <f t="shared" si="3"/>
        <v>0.47471524941489607</v>
      </c>
      <c r="K13" s="18" t="s">
        <v>152</v>
      </c>
      <c r="L13" s="19">
        <v>0</v>
      </c>
      <c r="M13" s="36">
        <f t="shared" si="4"/>
        <v>0</v>
      </c>
      <c r="N13" s="19">
        <v>0</v>
      </c>
      <c r="O13" s="36">
        <f>IF($N$36=0,"",N13/$N$36)</f>
        <v>0</v>
      </c>
      <c r="P13" s="19">
        <v>232967</v>
      </c>
      <c r="Q13" s="34">
        <f>IF($P$36=0,"",P13/$P$36)</f>
        <v>6.8176184137122954E-3</v>
      </c>
      <c r="R13" s="19">
        <v>0</v>
      </c>
      <c r="S13" s="34">
        <f t="shared" si="8"/>
        <v>0</v>
      </c>
      <c r="T13" s="37" t="str">
        <f t="shared" ref="T13:T18" si="10">IF(N13=0,"",L13/N13-1)</f>
        <v/>
      </c>
    </row>
    <row r="14" spans="1:20" ht="23.5" customHeight="1">
      <c r="A14" s="20" t="s">
        <v>42</v>
      </c>
      <c r="B14" s="19">
        <v>0</v>
      </c>
      <c r="C14" s="33">
        <f t="shared" si="0"/>
        <v>0</v>
      </c>
      <c r="D14" s="19">
        <v>0</v>
      </c>
      <c r="E14" s="33">
        <f t="shared" si="1"/>
        <v>0</v>
      </c>
      <c r="F14" s="19">
        <v>0</v>
      </c>
      <c r="G14" s="34">
        <f t="shared" si="2"/>
        <v>0</v>
      </c>
      <c r="H14" s="19">
        <v>0</v>
      </c>
      <c r="I14" s="34">
        <f t="shared" si="7"/>
        <v>0</v>
      </c>
      <c r="J14" s="34" t="str">
        <f t="shared" si="3"/>
        <v/>
      </c>
      <c r="K14" s="20" t="s">
        <v>46</v>
      </c>
      <c r="L14" s="19">
        <v>0</v>
      </c>
      <c r="M14" s="36">
        <f t="shared" si="4"/>
        <v>0</v>
      </c>
      <c r="N14" s="19">
        <v>63479</v>
      </c>
      <c r="O14" s="36">
        <f>IF($N$36=0,"",N14/$N$36)</f>
        <v>1.7826665022139337E-3</v>
      </c>
      <c r="P14" s="19">
        <v>0</v>
      </c>
      <c r="Q14" s="34">
        <f>IF($P$36=0,"",P14/$P$36)</f>
        <v>0</v>
      </c>
      <c r="R14" s="19">
        <v>201103</v>
      </c>
      <c r="S14" s="34">
        <f t="shared" si="8"/>
        <v>1.0952582126665621E-2</v>
      </c>
      <c r="T14" s="37">
        <f t="shared" si="10"/>
        <v>-1</v>
      </c>
    </row>
    <row r="15" spans="1:20" ht="20" customHeight="1">
      <c r="A15" s="18" t="s">
        <v>166</v>
      </c>
      <c r="B15" s="19">
        <v>38183</v>
      </c>
      <c r="C15" s="33">
        <f t="shared" si="0"/>
        <v>1.0382374734037129E-3</v>
      </c>
      <c r="D15" s="19">
        <v>36010</v>
      </c>
      <c r="E15" s="33">
        <f t="shared" si="1"/>
        <v>1.0112607436274005E-3</v>
      </c>
      <c r="F15" s="19">
        <v>26422</v>
      </c>
      <c r="G15" s="34">
        <f t="shared" si="2"/>
        <v>7.7322158815242622E-4</v>
      </c>
      <c r="H15" s="19">
        <v>25528</v>
      </c>
      <c r="I15" s="34">
        <f t="shared" si="7"/>
        <v>1.3903199680239478E-3</v>
      </c>
      <c r="J15" s="34">
        <f t="shared" si="3"/>
        <v>6.0344348792002123E-2</v>
      </c>
      <c r="K15" s="20" t="s">
        <v>47</v>
      </c>
      <c r="L15" s="19">
        <v>99726</v>
      </c>
      <c r="M15" s="36">
        <f t="shared" ref="M15" si="11">IF($L$36=0,"",L15/$L$36)</f>
        <v>2.7116588605572813E-3</v>
      </c>
      <c r="N15" s="19">
        <v>113750</v>
      </c>
      <c r="O15" s="36">
        <f t="shared" si="5"/>
        <v>3.1944157064042432E-3</v>
      </c>
      <c r="P15" s="19">
        <v>100159</v>
      </c>
      <c r="Q15" s="34">
        <f t="shared" si="6"/>
        <v>2.931083984851974E-3</v>
      </c>
      <c r="R15" s="19">
        <v>300000</v>
      </c>
      <c r="S15" s="34">
        <f t="shared" si="8"/>
        <v>1.6338764901566293E-2</v>
      </c>
      <c r="T15" s="37">
        <f t="shared" si="10"/>
        <v>-0.12328791208791212</v>
      </c>
    </row>
    <row r="16" spans="1:20" ht="20" customHeight="1">
      <c r="A16" s="18" t="s">
        <v>141</v>
      </c>
      <c r="B16" s="19">
        <v>0</v>
      </c>
      <c r="C16" s="33">
        <f t="shared" si="0"/>
        <v>0</v>
      </c>
      <c r="D16" s="19">
        <v>0</v>
      </c>
      <c r="E16" s="33">
        <f t="shared" si="1"/>
        <v>0</v>
      </c>
      <c r="F16" s="19">
        <v>0</v>
      </c>
      <c r="G16" s="34">
        <f t="shared" si="2"/>
        <v>0</v>
      </c>
      <c r="H16" s="19">
        <v>0</v>
      </c>
      <c r="I16" s="34">
        <f t="shared" si="7"/>
        <v>0</v>
      </c>
      <c r="J16" s="34" t="str">
        <f t="shared" si="3"/>
        <v/>
      </c>
      <c r="K16" s="18" t="s">
        <v>153</v>
      </c>
      <c r="L16" s="19">
        <v>3971088</v>
      </c>
      <c r="M16" s="36">
        <f t="shared" ref="M16:M26" si="12">IF($L$36=0,"",L16/$L$36)</f>
        <v>0.10797821993514925</v>
      </c>
      <c r="N16" s="19">
        <v>3980302</v>
      </c>
      <c r="O16" s="36">
        <f>IF($N$36=0,"",N16/$N$36)</f>
        <v>0.11177792725303053</v>
      </c>
      <c r="P16" s="19">
        <v>3754311</v>
      </c>
      <c r="Q16" s="34">
        <f>IF($P$36=0,"",P16/$P$36)</f>
        <v>0.10986731942465079</v>
      </c>
      <c r="R16" s="19">
        <v>3499719</v>
      </c>
      <c r="S16" s="34">
        <f t="shared" si="8"/>
        <v>0.19060361987514896</v>
      </c>
      <c r="T16" s="37">
        <f t="shared" si="10"/>
        <v>-2.3148997236892566E-3</v>
      </c>
    </row>
    <row r="17" spans="1:20" ht="20" customHeight="1">
      <c r="A17" s="18" t="s">
        <v>45</v>
      </c>
      <c r="B17" s="19">
        <v>22762</v>
      </c>
      <c r="C17" s="33">
        <f t="shared" si="0"/>
        <v>6.1892364061533439E-4</v>
      </c>
      <c r="D17" s="19">
        <v>0</v>
      </c>
      <c r="E17" s="33">
        <f t="shared" si="1"/>
        <v>0</v>
      </c>
      <c r="F17" s="19">
        <v>277940</v>
      </c>
      <c r="G17" s="34">
        <f t="shared" si="2"/>
        <v>8.1337222091849726E-3</v>
      </c>
      <c r="H17" s="19">
        <v>0</v>
      </c>
      <c r="I17" s="34">
        <f t="shared" si="7"/>
        <v>0</v>
      </c>
      <c r="J17" s="34" t="str">
        <f t="shared" si="3"/>
        <v/>
      </c>
      <c r="K17" s="18" t="s">
        <v>154</v>
      </c>
      <c r="L17" s="19">
        <v>310476</v>
      </c>
      <c r="M17" s="36">
        <f t="shared" si="12"/>
        <v>8.4421815413270613E-3</v>
      </c>
      <c r="N17" s="19">
        <v>290331</v>
      </c>
      <c r="O17" s="36">
        <f>IF($N$36=0,"",N17/$N$36)</f>
        <v>8.1533002765367055E-3</v>
      </c>
      <c r="P17" s="19">
        <v>0</v>
      </c>
      <c r="Q17" s="34">
        <f>IF($P$36=0,"",P17/$P$36)</f>
        <v>0</v>
      </c>
      <c r="R17" s="19">
        <v>0</v>
      </c>
      <c r="S17" s="34">
        <f t="shared" si="8"/>
        <v>0</v>
      </c>
      <c r="T17" s="37">
        <f t="shared" si="10"/>
        <v>6.9386321130020523E-2</v>
      </c>
    </row>
    <row r="18" spans="1:20" ht="20" customHeight="1">
      <c r="A18" s="18" t="s">
        <v>142</v>
      </c>
      <c r="B18" s="19">
        <v>0</v>
      </c>
      <c r="C18" s="33">
        <f t="shared" si="0"/>
        <v>0</v>
      </c>
      <c r="D18" s="19">
        <v>0</v>
      </c>
      <c r="E18" s="33">
        <f t="shared" si="1"/>
        <v>0</v>
      </c>
      <c r="F18" s="19">
        <v>0</v>
      </c>
      <c r="G18" s="34">
        <f t="shared" si="2"/>
        <v>0</v>
      </c>
      <c r="H18" s="19">
        <v>0</v>
      </c>
      <c r="I18" s="34">
        <f t="shared" si="7"/>
        <v>0</v>
      </c>
      <c r="J18" s="34" t="str">
        <f t="shared" si="3"/>
        <v/>
      </c>
      <c r="K18" s="18"/>
      <c r="L18" s="19">
        <v>0</v>
      </c>
      <c r="M18" s="36">
        <f t="shared" si="12"/>
        <v>0</v>
      </c>
      <c r="N18" s="19">
        <v>0</v>
      </c>
      <c r="O18" s="36">
        <f>IF($N$36=0,"",N18/$N$36)</f>
        <v>0</v>
      </c>
      <c r="P18" s="19">
        <v>0</v>
      </c>
      <c r="Q18" s="34">
        <f>IF($P$36=0,"",P18/$P$36)</f>
        <v>0</v>
      </c>
      <c r="R18" s="19">
        <v>0</v>
      </c>
      <c r="S18" s="34">
        <f t="shared" si="8"/>
        <v>0</v>
      </c>
      <c r="T18" s="37" t="str">
        <f t="shared" si="10"/>
        <v/>
      </c>
    </row>
    <row r="19" spans="1:20" ht="20" customHeight="1">
      <c r="A19" s="15" t="s">
        <v>29</v>
      </c>
      <c r="B19" s="16">
        <f>SUM(B20:B35)</f>
        <v>28723366</v>
      </c>
      <c r="C19" s="32">
        <f t="shared" si="0"/>
        <v>0.7810196931485246</v>
      </c>
      <c r="D19" s="17">
        <f>SUM(D20:D35)</f>
        <v>27005349</v>
      </c>
      <c r="E19" s="32">
        <f t="shared" si="1"/>
        <v>0.75838515167057696</v>
      </c>
      <c r="F19" s="17">
        <f>SUM(F20:F35)</f>
        <v>26385219</v>
      </c>
      <c r="G19" s="32">
        <f t="shared" si="2"/>
        <v>0.77214521758116605</v>
      </c>
      <c r="H19" s="17">
        <f>SUM(H20:H35)</f>
        <v>12730020</v>
      </c>
      <c r="I19" s="32">
        <f t="shared" si="7"/>
        <v>0.69330934657412313</v>
      </c>
      <c r="J19" s="32">
        <f t="shared" si="3"/>
        <v>6.3617655894763647E-2</v>
      </c>
      <c r="K19" s="15" t="s">
        <v>37</v>
      </c>
      <c r="L19" s="17">
        <f>SUM(L20:L29)</f>
        <v>11954741</v>
      </c>
      <c r="M19" s="32">
        <f t="shared" si="12"/>
        <v>0.32506246473655231</v>
      </c>
      <c r="N19" s="17">
        <f>SUM(N20:N29)</f>
        <v>11961245</v>
      </c>
      <c r="O19" s="32">
        <f t="shared" si="5"/>
        <v>0.33590495732878439</v>
      </c>
      <c r="P19" s="17">
        <f>SUM(P20:P29)</f>
        <v>11709950</v>
      </c>
      <c r="Q19" s="32">
        <f t="shared" si="6"/>
        <v>0.34268360215674448</v>
      </c>
      <c r="R19" s="17">
        <f>SUM(R20:R29)</f>
        <v>4365613</v>
      </c>
      <c r="S19" s="32">
        <f t="shared" si="8"/>
        <v>0.23776241486073843</v>
      </c>
      <c r="T19" s="32">
        <f t="shared" si="9"/>
        <v>-5.4375610565626786E-4</v>
      </c>
    </row>
    <row r="20" spans="1:20" ht="20" customHeight="1">
      <c r="A20" s="18" t="s">
        <v>30</v>
      </c>
      <c r="B20" s="19">
        <f>7+22733</f>
        <v>22740</v>
      </c>
      <c r="C20" s="33">
        <f t="shared" si="0"/>
        <v>6.1832543658697412E-4</v>
      </c>
      <c r="D20" s="19">
        <f>7+5279</f>
        <v>5286</v>
      </c>
      <c r="E20" s="33">
        <f t="shared" si="1"/>
        <v>1.4844555098068421E-4</v>
      </c>
      <c r="F20" s="19">
        <f>7+4035</f>
        <v>4042</v>
      </c>
      <c r="G20" s="34">
        <f t="shared" si="2"/>
        <v>1.1828633938808972E-4</v>
      </c>
      <c r="H20" s="19">
        <f>7+7474</f>
        <v>7481</v>
      </c>
      <c r="I20" s="34">
        <f t="shared" si="7"/>
        <v>4.0743433409539146E-4</v>
      </c>
      <c r="J20" s="34">
        <f t="shared" si="3"/>
        <v>3.3019296254256529</v>
      </c>
      <c r="K20" s="18" t="s">
        <v>38</v>
      </c>
      <c r="L20" s="19">
        <v>6739468</v>
      </c>
      <c r="M20" s="36">
        <f t="shared" si="12"/>
        <v>0.18325349575479072</v>
      </c>
      <c r="N20" s="19">
        <v>7451877</v>
      </c>
      <c r="O20" s="36">
        <f t="shared" si="5"/>
        <v>0.20926938840432996</v>
      </c>
      <c r="P20" s="19">
        <v>7796424</v>
      </c>
      <c r="Q20" s="34">
        <f t="shared" si="6"/>
        <v>0.2281569656797249</v>
      </c>
      <c r="R20" s="19">
        <v>1073267</v>
      </c>
      <c r="S20" s="34">
        <f t="shared" si="8"/>
        <v>5.8452857298697841E-2</v>
      </c>
      <c r="T20" s="37">
        <f t="shared" si="9"/>
        <v>-9.5601282737221793E-2</v>
      </c>
    </row>
    <row r="21" spans="1:20" ht="20" customHeight="1">
      <c r="A21" s="18" t="s">
        <v>143</v>
      </c>
      <c r="B21" s="19">
        <v>0</v>
      </c>
      <c r="C21" s="33">
        <f t="shared" si="0"/>
        <v>0</v>
      </c>
      <c r="D21" s="19">
        <v>0</v>
      </c>
      <c r="E21" s="33">
        <f t="shared" si="1"/>
        <v>0</v>
      </c>
      <c r="F21" s="19">
        <v>0</v>
      </c>
      <c r="G21" s="34">
        <f t="shared" si="2"/>
        <v>0</v>
      </c>
      <c r="H21" s="19">
        <v>0</v>
      </c>
      <c r="I21" s="34">
        <f t="shared" si="7"/>
        <v>0</v>
      </c>
      <c r="J21" s="34" t="str">
        <f t="shared" si="3"/>
        <v/>
      </c>
      <c r="K21" s="18" t="s">
        <v>105</v>
      </c>
      <c r="L21" s="19">
        <v>0</v>
      </c>
      <c r="M21" s="36">
        <f t="shared" si="12"/>
        <v>0</v>
      </c>
      <c r="N21" s="19">
        <v>0</v>
      </c>
      <c r="O21" s="36">
        <f t="shared" si="5"/>
        <v>0</v>
      </c>
      <c r="P21" s="19">
        <v>0</v>
      </c>
      <c r="Q21" s="34">
        <f t="shared" si="6"/>
        <v>0</v>
      </c>
      <c r="R21" s="19">
        <v>0</v>
      </c>
      <c r="S21" s="34">
        <f t="shared" si="8"/>
        <v>0</v>
      </c>
      <c r="T21" s="37" t="str">
        <f t="shared" si="9"/>
        <v/>
      </c>
    </row>
    <row r="22" spans="1:20" ht="20" customHeight="1">
      <c r="A22" s="18" t="s">
        <v>167</v>
      </c>
      <c r="B22" s="19">
        <v>0</v>
      </c>
      <c r="C22" s="33">
        <f t="shared" si="0"/>
        <v>0</v>
      </c>
      <c r="D22" s="19">
        <v>0</v>
      </c>
      <c r="E22" s="33">
        <f t="shared" si="1"/>
        <v>0</v>
      </c>
      <c r="F22" s="19">
        <v>0</v>
      </c>
      <c r="G22" s="34">
        <f t="shared" si="2"/>
        <v>0</v>
      </c>
      <c r="H22" s="19">
        <v>0</v>
      </c>
      <c r="I22" s="34">
        <f t="shared" si="7"/>
        <v>0</v>
      </c>
      <c r="J22" s="34" t="str">
        <f t="shared" si="3"/>
        <v/>
      </c>
      <c r="K22" s="20" t="s">
        <v>155</v>
      </c>
      <c r="L22" s="19">
        <v>2041631</v>
      </c>
      <c r="M22" s="36">
        <f t="shared" si="12"/>
        <v>5.5514176755694832E-2</v>
      </c>
      <c r="N22" s="19">
        <v>1576331</v>
      </c>
      <c r="O22" s="36">
        <f>IF($N$36=0,"",N22/$N$36)</f>
        <v>4.4267749493555227E-2</v>
      </c>
      <c r="P22" s="19">
        <v>1167519</v>
      </c>
      <c r="Q22" s="34">
        <f t="shared" ref="Q22:Q32" si="13">IF($P$36=0,"",P22/$P$36)</f>
        <v>3.4166637475517847E-2</v>
      </c>
      <c r="R22" s="19">
        <v>860353</v>
      </c>
      <c r="S22" s="34">
        <f t="shared" si="8"/>
        <v>4.6857017997857554E-2</v>
      </c>
      <c r="T22" s="37">
        <f>IF(N22=0,"",L22/N22-1)</f>
        <v>0.29517912164386795</v>
      </c>
    </row>
    <row r="23" spans="1:20" ht="20" customHeight="1">
      <c r="A23" s="20" t="s">
        <v>144</v>
      </c>
      <c r="B23" s="19">
        <v>0</v>
      </c>
      <c r="C23" s="33">
        <f t="shared" si="0"/>
        <v>0</v>
      </c>
      <c r="D23" s="19">
        <v>0</v>
      </c>
      <c r="E23" s="33">
        <f t="shared" si="1"/>
        <v>0</v>
      </c>
      <c r="F23" s="19">
        <v>0</v>
      </c>
      <c r="G23" s="34">
        <f t="shared" si="2"/>
        <v>0</v>
      </c>
      <c r="H23" s="19">
        <v>0</v>
      </c>
      <c r="I23" s="34">
        <f t="shared" si="7"/>
        <v>0</v>
      </c>
      <c r="J23" s="34" t="str">
        <f t="shared" si="3"/>
        <v/>
      </c>
      <c r="K23" s="20" t="s">
        <v>156</v>
      </c>
      <c r="L23" s="19">
        <v>0</v>
      </c>
      <c r="M23" s="36">
        <f t="shared" si="12"/>
        <v>0</v>
      </c>
      <c r="N23" s="19">
        <v>0</v>
      </c>
      <c r="O23" s="36">
        <f>IF($N$36=0,"",N23/$N$36)</f>
        <v>0</v>
      </c>
      <c r="P23" s="19">
        <v>0</v>
      </c>
      <c r="Q23" s="34">
        <f t="shared" si="13"/>
        <v>0</v>
      </c>
      <c r="R23" s="19">
        <v>0</v>
      </c>
      <c r="S23" s="34">
        <f t="shared" si="8"/>
        <v>0</v>
      </c>
      <c r="T23" s="37" t="str">
        <f t="shared" ref="T23:T29" si="14">IF(N23=0,"",L23/N23-1)</f>
        <v/>
      </c>
    </row>
    <row r="24" spans="1:20" ht="20" customHeight="1">
      <c r="A24" s="20" t="s">
        <v>145</v>
      </c>
      <c r="B24" s="19">
        <v>330174</v>
      </c>
      <c r="C24" s="33">
        <f t="shared" si="0"/>
        <v>8.9777916754471242E-3</v>
      </c>
      <c r="D24" s="19">
        <v>252887</v>
      </c>
      <c r="E24" s="33">
        <f t="shared" si="1"/>
        <v>7.1017688329270317E-3</v>
      </c>
      <c r="F24" s="19">
        <v>94288</v>
      </c>
      <c r="G24" s="34">
        <f t="shared" si="2"/>
        <v>2.7592732232123215E-3</v>
      </c>
      <c r="H24" s="19">
        <v>797499</v>
      </c>
      <c r="I24" s="34">
        <f t="shared" si="7"/>
        <v>4.3433828900780728E-2</v>
      </c>
      <c r="J24" s="34">
        <f t="shared" si="3"/>
        <v>0.30561871507827609</v>
      </c>
      <c r="K24" s="20" t="s">
        <v>157</v>
      </c>
      <c r="L24" s="19">
        <v>0</v>
      </c>
      <c r="M24" s="36">
        <f t="shared" si="12"/>
        <v>0</v>
      </c>
      <c r="N24" s="19">
        <v>0</v>
      </c>
      <c r="O24" s="36">
        <f>IF($N$36=0,"",N24/$N$36)</f>
        <v>0</v>
      </c>
      <c r="P24" s="19">
        <v>0</v>
      </c>
      <c r="Q24" s="34">
        <f t="shared" si="13"/>
        <v>0</v>
      </c>
      <c r="R24" s="19">
        <v>0</v>
      </c>
      <c r="S24" s="34">
        <f t="shared" si="8"/>
        <v>0</v>
      </c>
      <c r="T24" s="37" t="str">
        <f t="shared" si="14"/>
        <v/>
      </c>
    </row>
    <row r="25" spans="1:20" ht="20" customHeight="1">
      <c r="A25" s="20" t="s">
        <v>146</v>
      </c>
      <c r="B25" s="19">
        <v>0</v>
      </c>
      <c r="C25" s="33">
        <f t="shared" si="0"/>
        <v>0</v>
      </c>
      <c r="D25" s="19">
        <v>0</v>
      </c>
      <c r="E25" s="33">
        <f t="shared" si="1"/>
        <v>0</v>
      </c>
      <c r="F25" s="19">
        <v>0</v>
      </c>
      <c r="G25" s="34">
        <f t="shared" si="2"/>
        <v>0</v>
      </c>
      <c r="H25" s="19">
        <v>9213541</v>
      </c>
      <c r="I25" s="34">
        <f t="shared" si="7"/>
        <v>0.50179293436647343</v>
      </c>
      <c r="J25" s="34" t="str">
        <f t="shared" si="3"/>
        <v/>
      </c>
      <c r="K25" s="20" t="s">
        <v>168</v>
      </c>
      <c r="L25" s="19">
        <v>3173642</v>
      </c>
      <c r="M25" s="36">
        <f t="shared" si="12"/>
        <v>8.6294792226066744E-2</v>
      </c>
      <c r="N25" s="19">
        <v>2933037</v>
      </c>
      <c r="O25" s="36">
        <f>IF($N$36=0,"",N25/$N$36)</f>
        <v>8.2367819430899186E-2</v>
      </c>
      <c r="P25" s="19">
        <v>2746007</v>
      </c>
      <c r="Q25" s="34">
        <f t="shared" si="13"/>
        <v>8.0359999001501758E-2</v>
      </c>
      <c r="R25" s="19">
        <v>2431993</v>
      </c>
      <c r="S25" s="34">
        <f t="shared" si="8"/>
        <v>0.13245253956418304</v>
      </c>
      <c r="T25" s="37">
        <f t="shared" si="14"/>
        <v>8.2032718987179454E-2</v>
      </c>
    </row>
    <row r="26" spans="1:20" ht="20" customHeight="1">
      <c r="A26" s="20" t="s">
        <v>40</v>
      </c>
      <c r="B26" s="19">
        <v>0</v>
      </c>
      <c r="C26" s="33">
        <f t="shared" si="0"/>
        <v>0</v>
      </c>
      <c r="D26" s="19">
        <v>0</v>
      </c>
      <c r="E26" s="33">
        <f t="shared" si="1"/>
        <v>0</v>
      </c>
      <c r="F26" s="19">
        <v>0</v>
      </c>
      <c r="G26" s="34">
        <f t="shared" si="2"/>
        <v>0</v>
      </c>
      <c r="H26" s="19">
        <v>0</v>
      </c>
      <c r="I26" s="34">
        <f t="shared" si="7"/>
        <v>0</v>
      </c>
      <c r="J26" s="34" t="str">
        <f t="shared" si="3"/>
        <v/>
      </c>
      <c r="K26" s="20" t="s">
        <v>158</v>
      </c>
      <c r="L26" s="19">
        <v>0</v>
      </c>
      <c r="M26" s="36">
        <f t="shared" si="12"/>
        <v>0</v>
      </c>
      <c r="N26" s="19">
        <v>0</v>
      </c>
      <c r="O26" s="36">
        <f>IF($N$36=0,"",N26/$N$36)</f>
        <v>0</v>
      </c>
      <c r="P26" s="19">
        <v>0</v>
      </c>
      <c r="Q26" s="34">
        <f t="shared" si="13"/>
        <v>0</v>
      </c>
      <c r="R26" s="19">
        <v>0</v>
      </c>
      <c r="S26" s="34">
        <f t="shared" si="8"/>
        <v>0</v>
      </c>
      <c r="T26" s="37" t="str">
        <f t="shared" si="14"/>
        <v/>
      </c>
    </row>
    <row r="27" spans="1:20" ht="20" customHeight="1">
      <c r="A27" s="18" t="s">
        <v>116</v>
      </c>
      <c r="B27" s="19">
        <v>0</v>
      </c>
      <c r="C27" s="33">
        <f t="shared" si="0"/>
        <v>0</v>
      </c>
      <c r="D27" s="19">
        <v>0</v>
      </c>
      <c r="E27" s="33">
        <f t="shared" si="1"/>
        <v>0</v>
      </c>
      <c r="F27" s="19">
        <v>0</v>
      </c>
      <c r="G27" s="34">
        <f t="shared" si="2"/>
        <v>0</v>
      </c>
      <c r="H27" s="19">
        <v>0</v>
      </c>
      <c r="I27" s="34">
        <f t="shared" si="7"/>
        <v>0</v>
      </c>
      <c r="J27" s="34" t="str">
        <f t="shared" si="3"/>
        <v/>
      </c>
      <c r="K27" s="18"/>
      <c r="L27" s="21">
        <v>0</v>
      </c>
      <c r="M27" s="36">
        <f t="shared" ref="M27:M29" si="15">IF($L$36=0,"",L27/$L$36)</f>
        <v>0</v>
      </c>
      <c r="N27" s="21">
        <v>0</v>
      </c>
      <c r="O27" s="36">
        <f t="shared" ref="O27:O29" si="16">IF($N$36=0,"",N27/$N$36)</f>
        <v>0</v>
      </c>
      <c r="P27" s="21">
        <v>0</v>
      </c>
      <c r="Q27" s="99">
        <f t="shared" si="13"/>
        <v>0</v>
      </c>
      <c r="R27" s="21">
        <v>0</v>
      </c>
      <c r="S27" s="99">
        <f t="shared" si="8"/>
        <v>0</v>
      </c>
      <c r="T27" s="37" t="str">
        <f t="shared" si="14"/>
        <v/>
      </c>
    </row>
    <row r="28" spans="1:20" ht="20" customHeight="1">
      <c r="A28" s="18" t="s">
        <v>147</v>
      </c>
      <c r="B28" s="19">
        <v>0</v>
      </c>
      <c r="C28" s="33">
        <f t="shared" si="0"/>
        <v>0</v>
      </c>
      <c r="D28" s="19">
        <v>0</v>
      </c>
      <c r="E28" s="33">
        <f t="shared" si="1"/>
        <v>0</v>
      </c>
      <c r="F28" s="19">
        <v>0</v>
      </c>
      <c r="G28" s="34">
        <f t="shared" si="2"/>
        <v>0</v>
      </c>
      <c r="H28" s="19">
        <v>0</v>
      </c>
      <c r="I28" s="34">
        <f t="shared" si="7"/>
        <v>0</v>
      </c>
      <c r="J28" s="34" t="str">
        <f t="shared" si="3"/>
        <v/>
      </c>
      <c r="K28" s="20"/>
      <c r="L28" s="19">
        <v>0</v>
      </c>
      <c r="M28" s="36">
        <f t="shared" si="15"/>
        <v>0</v>
      </c>
      <c r="N28" s="19">
        <v>0</v>
      </c>
      <c r="O28" s="36">
        <f t="shared" si="16"/>
        <v>0</v>
      </c>
      <c r="P28" s="19">
        <v>0</v>
      </c>
      <c r="Q28" s="34">
        <f t="shared" si="13"/>
        <v>0</v>
      </c>
      <c r="R28" s="19">
        <v>0</v>
      </c>
      <c r="S28" s="34">
        <f t="shared" si="8"/>
        <v>0</v>
      </c>
      <c r="T28" s="37" t="str">
        <f t="shared" si="14"/>
        <v/>
      </c>
    </row>
    <row r="29" spans="1:20" ht="20" customHeight="1">
      <c r="A29" s="18" t="s">
        <v>148</v>
      </c>
      <c r="B29" s="19">
        <v>23567585</v>
      </c>
      <c r="C29" s="33">
        <f t="shared" si="0"/>
        <v>0.64082837662381809</v>
      </c>
      <c r="D29" s="19">
        <v>22484252</v>
      </c>
      <c r="E29" s="33">
        <f t="shared" si="1"/>
        <v>0.63142019987297604</v>
      </c>
      <c r="F29" s="19">
        <v>23047449</v>
      </c>
      <c r="G29" s="34">
        <f t="shared" si="2"/>
        <v>0.67446768294005177</v>
      </c>
      <c r="H29" s="19">
        <v>758397</v>
      </c>
      <c r="I29" s="34">
        <f t="shared" si="7"/>
        <v>4.1304234283510578E-2</v>
      </c>
      <c r="J29" s="34">
        <f t="shared" si="3"/>
        <v>4.8181856349946539E-2</v>
      </c>
      <c r="K29" s="18"/>
      <c r="L29" s="21">
        <v>0</v>
      </c>
      <c r="M29" s="36">
        <f t="shared" si="15"/>
        <v>0</v>
      </c>
      <c r="N29" s="21">
        <v>0</v>
      </c>
      <c r="O29" s="36">
        <f t="shared" si="16"/>
        <v>0</v>
      </c>
      <c r="P29" s="21">
        <v>0</v>
      </c>
      <c r="Q29" s="99">
        <f t="shared" si="13"/>
        <v>0</v>
      </c>
      <c r="R29" s="21">
        <v>0</v>
      </c>
      <c r="S29" s="99">
        <f t="shared" si="8"/>
        <v>0</v>
      </c>
      <c r="T29" s="37" t="str">
        <f t="shared" si="14"/>
        <v/>
      </c>
    </row>
    <row r="30" spans="1:20" ht="20" customHeight="1">
      <c r="A30" s="18" t="s">
        <v>149</v>
      </c>
      <c r="B30" s="19">
        <v>0</v>
      </c>
      <c r="C30" s="33">
        <f t="shared" si="0"/>
        <v>0</v>
      </c>
      <c r="D30" s="19">
        <v>0</v>
      </c>
      <c r="E30" s="33">
        <f t="shared" ref="E30:E36" si="17">IF($D$36=0,"",D30/$D$36)</f>
        <v>0</v>
      </c>
      <c r="F30" s="19">
        <v>0</v>
      </c>
      <c r="G30" s="34">
        <f t="shared" si="2"/>
        <v>0</v>
      </c>
      <c r="H30" s="19">
        <v>0</v>
      </c>
      <c r="I30" s="34">
        <f t="shared" si="7"/>
        <v>0</v>
      </c>
      <c r="J30" s="34" t="str">
        <f t="shared" si="3"/>
        <v/>
      </c>
      <c r="K30" s="15" t="s">
        <v>3</v>
      </c>
      <c r="L30" s="17">
        <f>SUM(L31:L35)</f>
        <v>15977886</v>
      </c>
      <c r="M30" s="32">
        <f>IF($L$36=0,"",L30/$L$36)</f>
        <v>0.43445617135826303</v>
      </c>
      <c r="N30" s="17">
        <f>SUM(N31:N35)</f>
        <v>15009189</v>
      </c>
      <c r="O30" s="32">
        <f>IF($N$36=0,"",N30/$N$36)</f>
        <v>0.42149968423727296</v>
      </c>
      <c r="P30" s="17">
        <f>SUM(P31:P35)</f>
        <v>14182519</v>
      </c>
      <c r="Q30" s="32">
        <f t="shared" si="13"/>
        <v>0.41504162687086366</v>
      </c>
      <c r="R30" s="17">
        <f>SUM(R31:R35)</f>
        <v>5953827</v>
      </c>
      <c r="S30" s="32">
        <f t="shared" si="8"/>
        <v>0.32426059872532581</v>
      </c>
      <c r="T30" s="32">
        <f t="shared" si="9"/>
        <v>6.4540262635109702E-2</v>
      </c>
    </row>
    <row r="31" spans="1:20" ht="20" customHeight="1">
      <c r="A31" s="18" t="s">
        <v>150</v>
      </c>
      <c r="B31" s="19">
        <v>0</v>
      </c>
      <c r="C31" s="33">
        <f t="shared" ref="C31:C36" si="18">IF($B$36=0,"",B31/$B$36)</f>
        <v>0</v>
      </c>
      <c r="D31" s="19">
        <v>0</v>
      </c>
      <c r="E31" s="33">
        <f t="shared" si="17"/>
        <v>0</v>
      </c>
      <c r="F31" s="19">
        <v>0</v>
      </c>
      <c r="G31" s="34">
        <f t="shared" si="2"/>
        <v>0</v>
      </c>
      <c r="H31" s="19">
        <v>0</v>
      </c>
      <c r="I31" s="34">
        <f t="shared" si="7"/>
        <v>0</v>
      </c>
      <c r="J31" s="34" t="str">
        <f t="shared" si="3"/>
        <v/>
      </c>
      <c r="K31" s="18" t="s">
        <v>159</v>
      </c>
      <c r="L31" s="19">
        <v>6803548</v>
      </c>
      <c r="M31" s="36">
        <f>IF($L$36=0,"",L31/$L$36)</f>
        <v>0.18499590094285112</v>
      </c>
      <c r="N31" s="19">
        <v>6803548</v>
      </c>
      <c r="O31" s="36">
        <f>IF($N$36=0,"",N31/$N$36)</f>
        <v>0.19106251068549607</v>
      </c>
      <c r="P31" s="19">
        <v>6410824</v>
      </c>
      <c r="Q31" s="34">
        <f t="shared" si="13"/>
        <v>0.18760833830314472</v>
      </c>
      <c r="R31" s="19">
        <v>4011628</v>
      </c>
      <c r="S31" s="34">
        <f t="shared" si="8"/>
        <v>0.2184834892151353</v>
      </c>
      <c r="T31" s="37">
        <f t="shared" si="9"/>
        <v>0</v>
      </c>
    </row>
    <row r="32" spans="1:20" ht="20" customHeight="1">
      <c r="A32" s="18" t="s">
        <v>116</v>
      </c>
      <c r="B32" s="19">
        <v>4802867</v>
      </c>
      <c r="C32" s="33">
        <f t="shared" si="18"/>
        <v>0.13059519941267242</v>
      </c>
      <c r="D32" s="19">
        <v>4262924</v>
      </c>
      <c r="E32" s="33">
        <f t="shared" si="17"/>
        <v>0.11971473741369321</v>
      </c>
      <c r="F32" s="19">
        <v>3239440</v>
      </c>
      <c r="G32" s="34">
        <f t="shared" si="2"/>
        <v>9.4799975078513954E-2</v>
      </c>
      <c r="H32" s="19">
        <v>1953102</v>
      </c>
      <c r="I32" s="34">
        <f t="shared" si="7"/>
        <v>0.1063709146892631</v>
      </c>
      <c r="J32" s="34">
        <f t="shared" si="3"/>
        <v>0.12666024540901977</v>
      </c>
      <c r="K32" s="22" t="s">
        <v>169</v>
      </c>
      <c r="L32" s="19">
        <v>9589493</v>
      </c>
      <c r="M32" s="36">
        <f>IF($L$36=0,"",L32/$L$36)</f>
        <v>0.26074878829695392</v>
      </c>
      <c r="N32" s="19">
        <v>8560328</v>
      </c>
      <c r="O32" s="36">
        <f>IF($N$36=0,"",N32/$N$36)</f>
        <v>0.24039776892458922</v>
      </c>
      <c r="P32" s="19">
        <v>7771716</v>
      </c>
      <c r="Q32" s="34">
        <f t="shared" si="13"/>
        <v>0.22743390311822045</v>
      </c>
      <c r="R32" s="19">
        <v>2077067</v>
      </c>
      <c r="S32" s="34">
        <f t="shared" si="8"/>
        <v>0.11312236465933866</v>
      </c>
      <c r="T32" s="37">
        <f t="shared" si="9"/>
        <v>0.12022494932437167</v>
      </c>
    </row>
    <row r="33" spans="1:20" ht="20" customHeight="1">
      <c r="A33" s="18"/>
      <c r="B33" s="19">
        <v>0</v>
      </c>
      <c r="C33" s="33">
        <f t="shared" si="18"/>
        <v>0</v>
      </c>
      <c r="D33" s="19">
        <v>0</v>
      </c>
      <c r="E33" s="33">
        <f t="shared" si="17"/>
        <v>0</v>
      </c>
      <c r="F33" s="19">
        <v>0</v>
      </c>
      <c r="G33" s="34">
        <f t="shared" si="2"/>
        <v>0</v>
      </c>
      <c r="H33" s="19">
        <v>0</v>
      </c>
      <c r="I33" s="34">
        <f t="shared" si="7"/>
        <v>0</v>
      </c>
      <c r="J33" s="34" t="str">
        <f t="shared" si="3"/>
        <v/>
      </c>
      <c r="K33" s="18" t="s">
        <v>4</v>
      </c>
      <c r="L33" s="19">
        <v>0</v>
      </c>
      <c r="M33" s="36">
        <f>IF($L$36=0,"",L33/$L$36)</f>
        <v>0</v>
      </c>
      <c r="N33" s="19">
        <v>0</v>
      </c>
      <c r="O33" s="36">
        <f>IF($N$36=0,"",N33/$N$36)</f>
        <v>0</v>
      </c>
      <c r="P33" s="19">
        <v>0</v>
      </c>
      <c r="Q33" s="34">
        <f t="shared" ref="Q33:Q35" si="19">IF($P$36=0,"",P33/$P$36)</f>
        <v>0</v>
      </c>
      <c r="R33" s="19">
        <v>0</v>
      </c>
      <c r="S33" s="34">
        <f t="shared" si="8"/>
        <v>0</v>
      </c>
      <c r="T33" s="37" t="str">
        <f t="shared" si="9"/>
        <v/>
      </c>
    </row>
    <row r="34" spans="1:20" ht="20" customHeight="1">
      <c r="A34" s="18"/>
      <c r="B34" s="19">
        <v>0</v>
      </c>
      <c r="C34" s="33">
        <f t="shared" si="18"/>
        <v>0</v>
      </c>
      <c r="D34" s="19">
        <v>0</v>
      </c>
      <c r="E34" s="33">
        <f t="shared" si="17"/>
        <v>0</v>
      </c>
      <c r="F34" s="19">
        <v>0</v>
      </c>
      <c r="G34" s="34">
        <f t="shared" si="2"/>
        <v>0</v>
      </c>
      <c r="H34" s="19">
        <v>0</v>
      </c>
      <c r="I34" s="34">
        <f t="shared" si="7"/>
        <v>0</v>
      </c>
      <c r="J34" s="34" t="str">
        <f t="shared" si="3"/>
        <v/>
      </c>
      <c r="K34" s="18" t="s">
        <v>185</v>
      </c>
      <c r="L34" s="19">
        <v>-415155</v>
      </c>
      <c r="M34" s="36">
        <f t="shared" ref="M34:M35" si="20">IF($L$36=0,"",L34/$L$36)</f>
        <v>-1.1288517881542007E-2</v>
      </c>
      <c r="N34" s="19">
        <v>-354687</v>
      </c>
      <c r="O34" s="36">
        <f t="shared" ref="O34:O35" si="21">IF($N$36=0,"",N34/$N$36)</f>
        <v>-9.9605953728123236E-3</v>
      </c>
      <c r="P34" s="19">
        <v>-21</v>
      </c>
      <c r="Q34" s="34">
        <f t="shared" si="19"/>
        <v>-6.1455050152149534E-7</v>
      </c>
      <c r="R34" s="19">
        <v>-134868</v>
      </c>
      <c r="S34" s="34">
        <f t="shared" si="8"/>
        <v>-7.3452551491481428E-3</v>
      </c>
      <c r="T34" s="37">
        <f t="shared" si="9"/>
        <v>0.17048270728839787</v>
      </c>
    </row>
    <row r="35" spans="1:20" ht="20" customHeight="1">
      <c r="A35" s="18"/>
      <c r="B35" s="19">
        <v>0</v>
      </c>
      <c r="C35" s="33">
        <f t="shared" si="18"/>
        <v>0</v>
      </c>
      <c r="D35" s="19">
        <v>0</v>
      </c>
      <c r="E35" s="33">
        <f t="shared" si="17"/>
        <v>0</v>
      </c>
      <c r="F35" s="19">
        <v>0</v>
      </c>
      <c r="G35" s="34">
        <f t="shared" si="2"/>
        <v>0</v>
      </c>
      <c r="H35" s="19">
        <v>0</v>
      </c>
      <c r="I35" s="34">
        <f t="shared" si="7"/>
        <v>0</v>
      </c>
      <c r="J35" s="34" t="str">
        <f t="shared" si="3"/>
        <v/>
      </c>
      <c r="K35" s="18"/>
      <c r="L35" s="19">
        <v>0</v>
      </c>
      <c r="M35" s="36">
        <f t="shared" si="20"/>
        <v>0</v>
      </c>
      <c r="N35" s="19">
        <v>0</v>
      </c>
      <c r="O35" s="36">
        <f t="shared" si="21"/>
        <v>0</v>
      </c>
      <c r="P35" s="19">
        <v>0</v>
      </c>
      <c r="Q35" s="34">
        <f t="shared" si="19"/>
        <v>0</v>
      </c>
      <c r="R35" s="19">
        <v>0</v>
      </c>
      <c r="S35" s="34">
        <f t="shared" si="8"/>
        <v>0</v>
      </c>
      <c r="T35" s="37" t="str">
        <f t="shared" si="9"/>
        <v/>
      </c>
    </row>
    <row r="36" spans="1:20" ht="20" customHeight="1">
      <c r="A36" s="15" t="s">
        <v>2</v>
      </c>
      <c r="B36" s="17">
        <f>+B9+B19</f>
        <v>36776750</v>
      </c>
      <c r="C36" s="32">
        <f t="shared" si="18"/>
        <v>1</v>
      </c>
      <c r="D36" s="17">
        <f>+D9+D19</f>
        <v>35609016</v>
      </c>
      <c r="E36" s="32">
        <f t="shared" si="17"/>
        <v>1</v>
      </c>
      <c r="F36" s="17">
        <f>+F9+F19</f>
        <v>34171317</v>
      </c>
      <c r="G36" s="32">
        <f t="shared" si="2"/>
        <v>1</v>
      </c>
      <c r="H36" s="17">
        <f>+H9+H19</f>
        <v>18361241</v>
      </c>
      <c r="I36" s="32">
        <f t="shared" si="7"/>
        <v>1</v>
      </c>
      <c r="J36" s="32">
        <f t="shared" si="3"/>
        <v>3.2793211696723112E-2</v>
      </c>
      <c r="K36" s="15" t="s">
        <v>108</v>
      </c>
      <c r="L36" s="17">
        <f>+L9+L19+L30</f>
        <v>36776750</v>
      </c>
      <c r="M36" s="32">
        <f>IF($L$36=0,"",L36/$L$36)</f>
        <v>1</v>
      </c>
      <c r="N36" s="17">
        <f>+N9+N19+N30</f>
        <v>35609016</v>
      </c>
      <c r="O36" s="32">
        <f>IF($N$36=0,"",N36/$N$36)</f>
        <v>1</v>
      </c>
      <c r="P36" s="17">
        <f>+P9+P19+P30</f>
        <v>34171317</v>
      </c>
      <c r="Q36" s="32">
        <f>IF($P$36=0,"",P36/$P$36)</f>
        <v>1</v>
      </c>
      <c r="R36" s="17">
        <f>+R9+R19+R30</f>
        <v>18361241</v>
      </c>
      <c r="S36" s="32">
        <f t="shared" si="8"/>
        <v>1</v>
      </c>
      <c r="T36" s="32">
        <f t="shared" si="9"/>
        <v>3.2793211696723112E-2</v>
      </c>
    </row>
    <row r="37" spans="1:20" ht="20" customHeight="1">
      <c r="A37" s="23"/>
      <c r="B37" s="24"/>
      <c r="C37" s="25"/>
      <c r="D37" s="26"/>
      <c r="E37" s="25"/>
      <c r="F37" s="25"/>
      <c r="G37" s="25"/>
      <c r="H37" s="25"/>
      <c r="I37" s="25"/>
      <c r="N37" s="27"/>
      <c r="O37" s="25"/>
    </row>
    <row r="38" spans="1:20" ht="20" customHeight="1">
      <c r="A38" s="23" t="s">
        <v>24</v>
      </c>
      <c r="B38" s="97">
        <f>+B8</f>
        <v>45291</v>
      </c>
      <c r="C38" s="25"/>
      <c r="D38" s="97">
        <f>+D8</f>
        <v>44926</v>
      </c>
      <c r="E38" s="28" t="s">
        <v>59</v>
      </c>
      <c r="F38" s="97">
        <f>+F8</f>
        <v>44561</v>
      </c>
      <c r="G38" s="25"/>
      <c r="H38" s="25"/>
      <c r="I38" s="25"/>
      <c r="K38" s="29"/>
      <c r="L38" s="30"/>
      <c r="M38" s="25"/>
      <c r="N38" s="30"/>
      <c r="O38" s="25"/>
    </row>
    <row r="39" spans="1:20" ht="20" customHeight="1">
      <c r="A39" s="20" t="s">
        <v>57</v>
      </c>
      <c r="B39" s="98">
        <f>+(B13+D13)/2</f>
        <v>1348163</v>
      </c>
      <c r="C39" s="18"/>
      <c r="D39" s="98">
        <f>+(D13+F13)/2</f>
        <v>1031281.5</v>
      </c>
      <c r="E39" s="34">
        <f>IF(D39=0,"",B39/D39-1)</f>
        <v>0.30726964461206752</v>
      </c>
      <c r="F39" s="98">
        <f>+(F13+H13)/2</f>
        <v>1015308</v>
      </c>
    </row>
    <row r="40" spans="1:20" ht="20" customHeight="1">
      <c r="A40" s="20" t="s">
        <v>140</v>
      </c>
      <c r="B40" s="98">
        <f>(B15+D15)/2</f>
        <v>37096.5</v>
      </c>
      <c r="C40" s="18"/>
      <c r="D40" s="98">
        <f>(D15+F15)/2</f>
        <v>31216</v>
      </c>
      <c r="E40" s="34">
        <f t="shared" ref="E40:E43" si="22">IF(D40=0,"",B40/D40-1)</f>
        <v>0.18838095848282932</v>
      </c>
      <c r="F40" s="98">
        <f>(F15+H15)/2</f>
        <v>25975</v>
      </c>
    </row>
    <row r="41" spans="1:20" ht="20" customHeight="1">
      <c r="A41" s="20" t="s">
        <v>161</v>
      </c>
      <c r="B41" s="98">
        <f>(L11+N11)/2</f>
        <v>3200584</v>
      </c>
      <c r="C41" s="18"/>
      <c r="D41" s="98">
        <f>(N11+P11)/2</f>
        <v>3041787.5</v>
      </c>
      <c r="E41" s="34">
        <f t="shared" si="22"/>
        <v>5.220499459610517E-2</v>
      </c>
      <c r="F41" s="98">
        <f>(P11+R11)/2</f>
        <v>2514043</v>
      </c>
    </row>
    <row r="42" spans="1:20" ht="20" customHeight="1">
      <c r="A42" s="18" t="s">
        <v>56</v>
      </c>
      <c r="B42" s="98">
        <f>+(B29+D29)/2</f>
        <v>23025918.5</v>
      </c>
      <c r="C42" s="18"/>
      <c r="D42" s="98">
        <f>+(D29+F29)/2</f>
        <v>22765850.5</v>
      </c>
      <c r="E42" s="34">
        <f t="shared" si="22"/>
        <v>1.1423601327787081E-2</v>
      </c>
      <c r="F42" s="98">
        <f>+(F29+H29)/2</f>
        <v>11902923</v>
      </c>
    </row>
    <row r="43" spans="1:20" ht="20" customHeight="1">
      <c r="A43" s="18" t="s">
        <v>227</v>
      </c>
      <c r="B43" s="98">
        <f>+(B36+D36)/2</f>
        <v>36192883</v>
      </c>
      <c r="C43" s="18"/>
      <c r="D43" s="98">
        <f>+(D36+F36)/2</f>
        <v>34890166.5</v>
      </c>
      <c r="E43" s="34">
        <f t="shared" si="22"/>
        <v>3.7337640678785533E-2</v>
      </c>
      <c r="F43" s="98">
        <f>+(F36+H36)/2</f>
        <v>26266279</v>
      </c>
      <c r="J43" s="31"/>
    </row>
    <row r="44" spans="1:20" ht="20" customHeight="1">
      <c r="A44" s="18" t="s">
        <v>23</v>
      </c>
      <c r="B44" s="98">
        <f>(L30+N30)/2</f>
        <v>15493537.5</v>
      </c>
      <c r="C44" s="18"/>
      <c r="D44" s="98">
        <f>+(N30+P30)/2</f>
        <v>14595854</v>
      </c>
      <c r="E44" s="34">
        <f t="shared" ref="E44" si="23">IF(D44=0,"",B44/D44-1)</f>
        <v>6.1502636296581148E-2</v>
      </c>
      <c r="F44" s="98">
        <f>+(P30+R30)/2</f>
        <v>10068173</v>
      </c>
      <c r="J44" s="31"/>
    </row>
  </sheetData>
  <sheetProtection algorithmName="SHA-512" hashValue="yziUDu5XfiNhXJ5rASAPomxniow7iy9LnzLl+svc7cf49CA6PWXFL9NCloEuWGP66ujPKa135ll8BlWDPs+4UA==" saltValue="YlOOy00p7lwSvjHyeUh4bw==" spinCount="100000" sheet="1" objects="1" scenarios="1"/>
  <mergeCells count="6">
    <mergeCell ref="A1:T1"/>
    <mergeCell ref="A3:T3"/>
    <mergeCell ref="A4:T4"/>
    <mergeCell ref="A5:T5"/>
    <mergeCell ref="A7:J7"/>
    <mergeCell ref="K7:T7"/>
  </mergeCells>
  <phoneticPr fontId="2" type="noConversion"/>
  <printOptions horizontalCentered="1" verticalCentered="1"/>
  <pageMargins left="0.48" right="0.78740157480314965" top="0.66" bottom="0.74" header="0" footer="0"/>
  <pageSetup scale="7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zoomScale="150" zoomScaleNormal="150" zoomScalePageLayoutView="150" workbookViewId="0">
      <selection sqref="A1:J1"/>
    </sheetView>
  </sheetViews>
  <sheetFormatPr baseColWidth="10" defaultColWidth="11.453125" defaultRowHeight="12.5"/>
  <cols>
    <col min="1" max="1" width="36.54296875" style="38" bestFit="1" customWidth="1"/>
    <col min="2" max="2" width="11.1796875" style="38" bestFit="1" customWidth="1"/>
    <col min="3" max="3" width="6" style="38" bestFit="1" customWidth="1"/>
    <col min="4" max="4" width="11.1796875" style="38" bestFit="1" customWidth="1"/>
    <col min="5" max="5" width="6" style="38" bestFit="1" customWidth="1"/>
    <col min="6" max="6" width="10.26953125" style="38" bestFit="1" customWidth="1"/>
    <col min="7" max="7" width="6" style="38" customWidth="1"/>
    <col min="8" max="8" width="11.90625" style="38" bestFit="1" customWidth="1"/>
    <col min="9" max="9" width="6" style="38" customWidth="1"/>
    <col min="10" max="10" width="7.7265625" style="38" bestFit="1" customWidth="1"/>
    <col min="11" max="16384" width="11.453125" style="38"/>
  </cols>
  <sheetData>
    <row r="1" spans="1:10">
      <c r="A1" s="114" t="s">
        <v>18</v>
      </c>
      <c r="B1" s="114"/>
      <c r="C1" s="114"/>
      <c r="D1" s="114"/>
      <c r="E1" s="114"/>
      <c r="F1" s="114"/>
      <c r="G1" s="114"/>
      <c r="H1" s="114"/>
      <c r="I1" s="114"/>
      <c r="J1" s="114"/>
    </row>
    <row r="3" spans="1:10">
      <c r="A3" s="114" t="s">
        <v>26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>
      <c r="A4" s="114" t="str">
        <f>+Balance!A4</f>
        <v>Entidad: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>
      <c r="A5" s="114" t="str">
        <f>+Balance!A5</f>
        <v>Período:</v>
      </c>
      <c r="B5" s="114"/>
      <c r="C5" s="114"/>
      <c r="D5" s="114"/>
      <c r="E5" s="114"/>
      <c r="F5" s="114"/>
      <c r="G5" s="114"/>
      <c r="H5" s="114"/>
      <c r="I5" s="114"/>
      <c r="J5" s="114"/>
    </row>
    <row r="6" spans="1:10">
      <c r="A6" s="39" t="s">
        <v>186</v>
      </c>
      <c r="B6" s="3"/>
      <c r="C6" s="3"/>
      <c r="D6" s="3"/>
      <c r="E6" s="3"/>
      <c r="F6" s="3"/>
      <c r="G6" s="3"/>
      <c r="H6" s="3"/>
      <c r="I6" s="3"/>
      <c r="J6" s="3"/>
    </row>
    <row r="7" spans="1:10">
      <c r="A7" s="29"/>
      <c r="B7" s="124" t="s">
        <v>5</v>
      </c>
      <c r="C7" s="125"/>
      <c r="D7" s="125"/>
      <c r="E7" s="125"/>
      <c r="F7" s="125"/>
      <c r="G7" s="125"/>
      <c r="H7" s="125"/>
      <c r="I7" s="126"/>
      <c r="J7" s="122" t="s">
        <v>137</v>
      </c>
    </row>
    <row r="8" spans="1:10" ht="20" customHeight="1">
      <c r="A8" s="29"/>
      <c r="B8" s="40">
        <f>+Balance!B8</f>
        <v>45291</v>
      </c>
      <c r="C8" s="41" t="s">
        <v>6</v>
      </c>
      <c r="D8" s="40">
        <f>+Balance!D8</f>
        <v>44926</v>
      </c>
      <c r="E8" s="41" t="s">
        <v>6</v>
      </c>
      <c r="F8" s="41">
        <f>+Balance!F8</f>
        <v>44561</v>
      </c>
      <c r="G8" s="41" t="s">
        <v>6</v>
      </c>
      <c r="H8" s="41">
        <f>+Balance!H8</f>
        <v>44196</v>
      </c>
      <c r="I8" s="41" t="s">
        <v>6</v>
      </c>
      <c r="J8" s="123"/>
    </row>
    <row r="9" spans="1:10" ht="16" customHeight="1">
      <c r="A9" s="18" t="s">
        <v>189</v>
      </c>
      <c r="B9" s="42">
        <v>17278176</v>
      </c>
      <c r="C9" s="36">
        <f t="shared" ref="C9:C22" si="0">IF($B$9=0,"",B9/$B$9)</f>
        <v>1</v>
      </c>
      <c r="D9" s="42">
        <v>16202056</v>
      </c>
      <c r="E9" s="36">
        <f t="shared" ref="E9:E22" si="1">IF($D$9=0,"",D9/$D$9)</f>
        <v>1</v>
      </c>
      <c r="F9" s="42">
        <v>14672441</v>
      </c>
      <c r="G9" s="36">
        <f>IF(F9=0,0,F9/$F$9)</f>
        <v>1</v>
      </c>
      <c r="H9" s="42">
        <v>13019641</v>
      </c>
      <c r="I9" s="36">
        <f>H9/$H$9</f>
        <v>1</v>
      </c>
      <c r="J9" s="36">
        <f>IF(D9=0,"",B9/D9-1)</f>
        <v>6.6418731054873614E-2</v>
      </c>
    </row>
    <row r="10" spans="1:10" ht="16" customHeight="1">
      <c r="A10" s="18" t="s">
        <v>190</v>
      </c>
      <c r="B10" s="42">
        <v>-13496919</v>
      </c>
      <c r="C10" s="36">
        <f t="shared" si="0"/>
        <v>-0.78115415654985809</v>
      </c>
      <c r="D10" s="42">
        <v>-12120408</v>
      </c>
      <c r="E10" s="36">
        <f t="shared" si="1"/>
        <v>-0.74807839202629589</v>
      </c>
      <c r="F10" s="42">
        <v>-11801330</v>
      </c>
      <c r="G10" s="36">
        <f>IF(F10=0,0,F10/$F$9)</f>
        <v>-0.8043194721314606</v>
      </c>
      <c r="H10" s="42">
        <v>-11203821</v>
      </c>
      <c r="I10" s="36">
        <f t="shared" ref="I10:I23" si="2">H10/$H$9</f>
        <v>-0.86053225277102496</v>
      </c>
      <c r="J10" s="36">
        <f t="shared" ref="J10:J23" si="3">IF(D10=0,"",B10/D10-1)</f>
        <v>0.11356969171334819</v>
      </c>
    </row>
    <row r="11" spans="1:10" ht="16" customHeight="1">
      <c r="A11" s="15" t="s">
        <v>106</v>
      </c>
      <c r="B11" s="43">
        <f>SUM(B9:B10)</f>
        <v>3781257</v>
      </c>
      <c r="C11" s="60">
        <f t="shared" si="0"/>
        <v>0.21884584345014196</v>
      </c>
      <c r="D11" s="43">
        <f>SUM(D9:D10)</f>
        <v>4081648</v>
      </c>
      <c r="E11" s="60">
        <f t="shared" si="1"/>
        <v>0.25192160797370405</v>
      </c>
      <c r="F11" s="43">
        <f>SUM(F9:F10)</f>
        <v>2871111</v>
      </c>
      <c r="G11" s="60">
        <f t="shared" ref="G11:G23" si="4">IF(F11=0,0,F11/$F$9)</f>
        <v>0.1956805278685394</v>
      </c>
      <c r="H11" s="43">
        <f>SUM(H9:H10)</f>
        <v>1815820</v>
      </c>
      <c r="I11" s="60">
        <f t="shared" si="2"/>
        <v>0.13946774722897506</v>
      </c>
      <c r="J11" s="35">
        <f t="shared" si="3"/>
        <v>-7.3595518280851313E-2</v>
      </c>
    </row>
    <row r="12" spans="1:10" ht="16" customHeight="1">
      <c r="A12" s="18" t="s">
        <v>50</v>
      </c>
      <c r="B12" s="42">
        <v>8935</v>
      </c>
      <c r="C12" s="36">
        <f t="shared" si="0"/>
        <v>5.1712634481787892E-4</v>
      </c>
      <c r="D12" s="42">
        <v>44985</v>
      </c>
      <c r="E12" s="36">
        <f t="shared" si="1"/>
        <v>2.776499476362753E-3</v>
      </c>
      <c r="F12" s="42">
        <f>63153+50457</f>
        <v>113610</v>
      </c>
      <c r="G12" s="36">
        <f t="shared" si="4"/>
        <v>7.7430878747442224E-3</v>
      </c>
      <c r="H12" s="42">
        <f>14494+34796</f>
        <v>49290</v>
      </c>
      <c r="I12" s="36">
        <f t="shared" si="2"/>
        <v>3.7858186719587736E-3</v>
      </c>
      <c r="J12" s="36">
        <f t="shared" si="3"/>
        <v>-0.80137823719017454</v>
      </c>
    </row>
    <row r="13" spans="1:10" ht="16" customHeight="1">
      <c r="A13" s="18" t="s">
        <v>172</v>
      </c>
      <c r="B13" s="42">
        <v>0</v>
      </c>
      <c r="C13" s="36">
        <f t="shared" si="0"/>
        <v>0</v>
      </c>
      <c r="D13" s="42">
        <v>0</v>
      </c>
      <c r="E13" s="36">
        <f t="shared" si="1"/>
        <v>0</v>
      </c>
      <c r="F13" s="42">
        <v>0</v>
      </c>
      <c r="G13" s="36">
        <f t="shared" si="4"/>
        <v>0</v>
      </c>
      <c r="H13" s="42">
        <v>0</v>
      </c>
      <c r="I13" s="36">
        <f t="shared" si="2"/>
        <v>0</v>
      </c>
      <c r="J13" s="36" t="str">
        <f t="shared" si="3"/>
        <v/>
      </c>
    </row>
    <row r="14" spans="1:10" ht="16" customHeight="1">
      <c r="A14" s="18" t="s">
        <v>51</v>
      </c>
      <c r="B14" s="42">
        <v>-3172161</v>
      </c>
      <c r="C14" s="36">
        <f t="shared" si="0"/>
        <v>-0.18359351125952184</v>
      </c>
      <c r="D14" s="42">
        <v>-2872385</v>
      </c>
      <c r="E14" s="36">
        <f t="shared" si="1"/>
        <v>-0.17728521614787654</v>
      </c>
      <c r="F14" s="42">
        <v>-2137912</v>
      </c>
      <c r="G14" s="36">
        <f t="shared" si="4"/>
        <v>-0.14570936083505123</v>
      </c>
      <c r="H14" s="42">
        <v>-1142665</v>
      </c>
      <c r="I14" s="36">
        <f t="shared" si="2"/>
        <v>-8.776470871969512E-2</v>
      </c>
      <c r="J14" s="36">
        <f t="shared" si="3"/>
        <v>0.10436483967156218</v>
      </c>
    </row>
    <row r="15" spans="1:10" ht="16" customHeight="1">
      <c r="A15" s="18" t="s">
        <v>55</v>
      </c>
      <c r="B15" s="42">
        <v>0</v>
      </c>
      <c r="C15" s="36">
        <f t="shared" si="0"/>
        <v>0</v>
      </c>
      <c r="D15" s="42">
        <v>0</v>
      </c>
      <c r="E15" s="36">
        <f t="shared" si="1"/>
        <v>0</v>
      </c>
      <c r="F15" s="42">
        <v>0</v>
      </c>
      <c r="G15" s="36">
        <f t="shared" si="4"/>
        <v>0</v>
      </c>
      <c r="H15" s="42">
        <v>0</v>
      </c>
      <c r="I15" s="36">
        <f t="shared" si="2"/>
        <v>0</v>
      </c>
      <c r="J15" s="36" t="str">
        <f t="shared" si="3"/>
        <v/>
      </c>
    </row>
    <row r="16" spans="1:10" ht="16" customHeight="1">
      <c r="A16" s="18" t="s">
        <v>66</v>
      </c>
      <c r="B16" s="42">
        <v>576015</v>
      </c>
      <c r="C16" s="36">
        <f t="shared" si="0"/>
        <v>3.3337720370483548E-2</v>
      </c>
      <c r="D16" s="42">
        <v>-606749</v>
      </c>
      <c r="E16" s="36">
        <f t="shared" si="1"/>
        <v>-3.7448889202703659E-2</v>
      </c>
      <c r="F16" s="42">
        <v>-276410</v>
      </c>
      <c r="G16" s="36">
        <f t="shared" si="4"/>
        <v>-1.8838719474148849E-2</v>
      </c>
      <c r="H16" s="42">
        <v>9</v>
      </c>
      <c r="I16" s="36">
        <f t="shared" si="2"/>
        <v>6.9126329980987955E-7</v>
      </c>
      <c r="J16" s="36">
        <f t="shared" si="3"/>
        <v>-1.9493464348519733</v>
      </c>
    </row>
    <row r="17" spans="1:10" ht="16" customHeight="1">
      <c r="A17" s="15" t="s">
        <v>205</v>
      </c>
      <c r="B17" s="43">
        <f>SUM(B11:B16)</f>
        <v>1194046</v>
      </c>
      <c r="C17" s="60">
        <f t="shared" si="0"/>
        <v>6.9107178905921551E-2</v>
      </c>
      <c r="D17" s="43">
        <f>SUM(D11:D16)</f>
        <v>647499</v>
      </c>
      <c r="E17" s="60">
        <f t="shared" si="1"/>
        <v>3.9964002099486633E-2</v>
      </c>
      <c r="F17" s="43">
        <f>SUM(F11:F16)</f>
        <v>570399</v>
      </c>
      <c r="G17" s="60">
        <f t="shared" si="4"/>
        <v>3.8875535434083529E-2</v>
      </c>
      <c r="H17" s="43">
        <f>SUM(H11:H16)</f>
        <v>722454</v>
      </c>
      <c r="I17" s="60">
        <f t="shared" si="2"/>
        <v>5.5489548444538524E-2</v>
      </c>
      <c r="J17" s="35">
        <f t="shared" si="3"/>
        <v>0.84408933450090262</v>
      </c>
    </row>
    <row r="18" spans="1:10" ht="16" customHeight="1">
      <c r="A18" s="18" t="s">
        <v>7</v>
      </c>
      <c r="B18" s="42">
        <f>424415+17454</f>
        <v>441869</v>
      </c>
      <c r="C18" s="36">
        <f t="shared" si="0"/>
        <v>2.5573822144189295E-2</v>
      </c>
      <c r="D18" s="42">
        <f>448183+1244</f>
        <v>449427</v>
      </c>
      <c r="E18" s="36">
        <f t="shared" si="1"/>
        <v>2.7738886965950494E-2</v>
      </c>
      <c r="F18" s="42">
        <f>35008-2524</f>
        <v>32484</v>
      </c>
      <c r="G18" s="36">
        <f t="shared" si="4"/>
        <v>2.213946541001596E-3</v>
      </c>
      <c r="H18" s="42">
        <v>14697</v>
      </c>
      <c r="I18" s="36">
        <f t="shared" si="2"/>
        <v>1.1288329685895332E-3</v>
      </c>
      <c r="J18" s="36">
        <f t="shared" si="3"/>
        <v>-1.6816969162956386E-2</v>
      </c>
    </row>
    <row r="19" spans="1:10" ht="16" customHeight="1">
      <c r="A19" s="18" t="s">
        <v>52</v>
      </c>
      <c r="B19" s="42">
        <v>-596443</v>
      </c>
      <c r="C19" s="36">
        <f t="shared" si="0"/>
        <v>-3.4520021094819268E-2</v>
      </c>
      <c r="D19" s="42">
        <v>-630727</v>
      </c>
      <c r="E19" s="36">
        <f t="shared" si="1"/>
        <v>-3.8928824835564077E-2</v>
      </c>
      <c r="F19" s="42">
        <v>-380865</v>
      </c>
      <c r="G19" s="36">
        <f t="shared" si="4"/>
        <v>-2.5957848458889696E-2</v>
      </c>
      <c r="H19" s="42">
        <v>-143815</v>
      </c>
      <c r="I19" s="36">
        <f t="shared" si="2"/>
        <v>-1.1046003495795315E-2</v>
      </c>
      <c r="J19" s="36">
        <f t="shared" si="3"/>
        <v>-5.4356322148885305E-2</v>
      </c>
    </row>
    <row r="20" spans="1:10" ht="16" customHeight="1">
      <c r="A20" s="18" t="s">
        <v>8</v>
      </c>
      <c r="B20" s="42">
        <v>0</v>
      </c>
      <c r="C20" s="36">
        <f t="shared" si="0"/>
        <v>0</v>
      </c>
      <c r="D20" s="42">
        <v>0</v>
      </c>
      <c r="E20" s="36">
        <f t="shared" si="1"/>
        <v>0</v>
      </c>
      <c r="F20" s="42">
        <v>0</v>
      </c>
      <c r="G20" s="36">
        <f t="shared" si="4"/>
        <v>0</v>
      </c>
      <c r="H20" s="42">
        <v>4242</v>
      </c>
      <c r="I20" s="36">
        <f t="shared" si="2"/>
        <v>3.2581543531038992E-4</v>
      </c>
      <c r="J20" s="36" t="str">
        <f t="shared" si="3"/>
        <v/>
      </c>
    </row>
    <row r="21" spans="1:10" ht="16" customHeight="1">
      <c r="A21" s="15" t="s">
        <v>206</v>
      </c>
      <c r="B21" s="44">
        <f>SUM(B17:B20)</f>
        <v>1039472</v>
      </c>
      <c r="C21" s="36">
        <f t="shared" si="0"/>
        <v>6.0160979955291578E-2</v>
      </c>
      <c r="D21" s="44">
        <f>SUM(D17:D20)</f>
        <v>466199</v>
      </c>
      <c r="E21" s="36">
        <f t="shared" si="1"/>
        <v>2.877406422987305E-2</v>
      </c>
      <c r="F21" s="44">
        <f>SUM(F17:F20)</f>
        <v>222018</v>
      </c>
      <c r="G21" s="36">
        <f t="shared" si="4"/>
        <v>1.513163351619543E-2</v>
      </c>
      <c r="H21" s="44">
        <f>SUM(H17:H20)</f>
        <v>597578</v>
      </c>
      <c r="I21" s="36">
        <f t="shared" si="2"/>
        <v>4.5898193352643134E-2</v>
      </c>
      <c r="J21" s="61">
        <f t="shared" si="3"/>
        <v>1.2296744523261527</v>
      </c>
    </row>
    <row r="22" spans="1:10" ht="16" customHeight="1">
      <c r="A22" s="18" t="s">
        <v>53</v>
      </c>
      <c r="B22" s="42">
        <v>344380</v>
      </c>
      <c r="C22" s="36">
        <f t="shared" si="0"/>
        <v>1.9931502028917868E-2</v>
      </c>
      <c r="D22" s="42">
        <v>715138</v>
      </c>
      <c r="E22" s="36">
        <f t="shared" si="1"/>
        <v>4.413871918477507E-2</v>
      </c>
      <c r="F22" s="42">
        <v>-1423291</v>
      </c>
      <c r="G22" s="36">
        <f t="shared" si="4"/>
        <v>-9.7004377117617988E-2</v>
      </c>
      <c r="H22" s="42">
        <v>-142112</v>
      </c>
      <c r="I22" s="36">
        <f t="shared" si="2"/>
        <v>-1.0915201118064622E-2</v>
      </c>
      <c r="J22" s="36">
        <f t="shared" si="3"/>
        <v>-0.51844259429648543</v>
      </c>
    </row>
    <row r="23" spans="1:10" ht="16" customHeight="1">
      <c r="A23" s="15" t="s">
        <v>204</v>
      </c>
      <c r="B23" s="43">
        <f>+B21+B22</f>
        <v>1383852</v>
      </c>
      <c r="C23" s="60">
        <f>IF($B$9=0,"",B23/$B$9)</f>
        <v>8.0092481984209443E-2</v>
      </c>
      <c r="D23" s="43">
        <f>+D21+D22</f>
        <v>1181337</v>
      </c>
      <c r="E23" s="60">
        <f>IF($D$9=0,"",D23/$D$9)</f>
        <v>7.2912783414648116E-2</v>
      </c>
      <c r="F23" s="43">
        <f>+F21+F22</f>
        <v>-1201273</v>
      </c>
      <c r="G23" s="60">
        <f t="shared" si="4"/>
        <v>-8.1872743601422562E-2</v>
      </c>
      <c r="H23" s="43">
        <f>+H21+H22</f>
        <v>455466</v>
      </c>
      <c r="I23" s="60">
        <f t="shared" si="2"/>
        <v>3.4982992234578514E-2</v>
      </c>
      <c r="J23" s="35">
        <f t="shared" si="3"/>
        <v>0.17142864398558588</v>
      </c>
    </row>
    <row r="24" spans="1:10">
      <c r="A24" s="45"/>
      <c r="B24" s="29"/>
      <c r="C24" s="29"/>
      <c r="D24" s="29"/>
      <c r="E24" s="29"/>
      <c r="F24" s="29"/>
      <c r="G24" s="29"/>
      <c r="H24" s="29"/>
      <c r="I24" s="29"/>
      <c r="J24" s="46"/>
    </row>
    <row r="25" spans="1:10">
      <c r="A25" s="45"/>
      <c r="B25" s="29"/>
      <c r="C25" s="29"/>
      <c r="D25" s="29"/>
      <c r="E25" s="47"/>
      <c r="F25" s="47"/>
      <c r="G25" s="47"/>
      <c r="H25" s="47"/>
      <c r="I25" s="47"/>
      <c r="J25" s="46"/>
    </row>
    <row r="26" spans="1:10">
      <c r="A26" s="45"/>
      <c r="B26" s="29"/>
      <c r="C26" s="29"/>
      <c r="D26" s="29"/>
      <c r="E26" s="29"/>
      <c r="F26" s="29"/>
      <c r="G26" s="29"/>
      <c r="H26" s="29"/>
      <c r="I26" s="29"/>
      <c r="J26" s="46"/>
    </row>
    <row r="27" spans="1:10">
      <c r="A27" s="45" t="s">
        <v>61</v>
      </c>
      <c r="B27" s="29"/>
      <c r="C27" s="29"/>
      <c r="D27" s="29"/>
      <c r="E27" s="29"/>
      <c r="F27" s="29"/>
      <c r="G27" s="29"/>
      <c r="H27" s="29"/>
      <c r="I27" s="29"/>
      <c r="J27" s="46"/>
    </row>
    <row r="28" spans="1:10">
      <c r="A28" s="45"/>
      <c r="E28" s="25"/>
      <c r="F28" s="25"/>
      <c r="G28" s="25"/>
      <c r="H28" s="25"/>
      <c r="I28" s="25"/>
      <c r="J28" s="46"/>
    </row>
    <row r="29" spans="1:10" ht="16" customHeight="1">
      <c r="A29" s="15" t="s">
        <v>188</v>
      </c>
      <c r="B29" s="43">
        <f>+B23-B22-B19</f>
        <v>1635915</v>
      </c>
      <c r="C29" s="35">
        <f>IF($B$9=0,"",B29/B9)</f>
        <v>9.4681001050110847E-2</v>
      </c>
      <c r="D29" s="43">
        <f>+D23-D22-D19</f>
        <v>1096926</v>
      </c>
      <c r="E29" s="35">
        <f>IF($D$9=0,"",D29/D9)</f>
        <v>6.770288906543713E-2</v>
      </c>
      <c r="F29" s="43">
        <f>+F23-F22-F19</f>
        <v>602883</v>
      </c>
      <c r="G29" s="35">
        <f>IF(F9=0,0,F29/F9)</f>
        <v>4.1089481975085128E-2</v>
      </c>
      <c r="H29" s="43">
        <f>+H23-H22-H19</f>
        <v>741393</v>
      </c>
      <c r="I29" s="35">
        <f>IF(H9=0,0,H29/H9)</f>
        <v>5.6944196848438447E-2</v>
      </c>
      <c r="J29" s="32">
        <f>IF(D29=0,"",B29/D29-1)</f>
        <v>0.49136313661997244</v>
      </c>
    </row>
    <row r="30" spans="1:10" ht="16" customHeight="1">
      <c r="A30" s="48" t="s">
        <v>67</v>
      </c>
      <c r="B30" s="49">
        <v>42093262</v>
      </c>
      <c r="C30" s="50"/>
      <c r="D30" s="49">
        <v>42093262</v>
      </c>
      <c r="E30" s="51"/>
      <c r="F30" s="49">
        <v>57210649</v>
      </c>
      <c r="G30" s="51"/>
      <c r="H30" s="49">
        <v>15934596</v>
      </c>
      <c r="I30" s="51"/>
      <c r="J30" s="37">
        <f>IF(D30=0,0,B30/D30-1)</f>
        <v>0</v>
      </c>
    </row>
    <row r="31" spans="1:10" ht="16" customHeight="1">
      <c r="A31" s="50" t="s">
        <v>122</v>
      </c>
      <c r="B31" s="52">
        <f>Balance!L30/Resultados!B30</f>
        <v>0.37958298408899743</v>
      </c>
      <c r="C31" s="50"/>
      <c r="D31" s="52">
        <f>Balance!N30/Resultados!D30</f>
        <v>0.35656987096889758</v>
      </c>
      <c r="E31" s="51"/>
      <c r="F31" s="52">
        <f>Balance!P30/Resultados!F30</f>
        <v>0.24789998449414549</v>
      </c>
      <c r="G31" s="51"/>
      <c r="H31" s="52">
        <f>Balance!R30/Resultados!H30</f>
        <v>0.37364154070802924</v>
      </c>
      <c r="I31" s="51"/>
      <c r="J31" s="37">
        <f>IF(D31=0,0,B31/D31-1)</f>
        <v>6.4540262635109702E-2</v>
      </c>
    </row>
    <row r="32" spans="1:10" ht="16" customHeight="1">
      <c r="A32" s="50" t="s">
        <v>138</v>
      </c>
      <c r="B32" s="53">
        <v>415155</v>
      </c>
      <c r="C32" s="50"/>
      <c r="D32" s="54">
        <v>354687</v>
      </c>
      <c r="E32" s="55"/>
      <c r="F32" s="54">
        <v>354401</v>
      </c>
      <c r="G32" s="55"/>
      <c r="H32" s="54">
        <v>134868</v>
      </c>
      <c r="I32" s="55"/>
      <c r="J32" s="37">
        <f t="shared" ref="J32:J33" si="5">IF(D32=0,0,B32/D32-1)</f>
        <v>0.17048270728839787</v>
      </c>
    </row>
    <row r="33" spans="1:10" ht="16" customHeight="1">
      <c r="A33" s="56" t="s">
        <v>139</v>
      </c>
      <c r="B33" s="57">
        <v>400</v>
      </c>
      <c r="C33" s="56"/>
      <c r="D33" s="57">
        <v>400</v>
      </c>
      <c r="E33" s="58"/>
      <c r="F33" s="57">
        <v>400</v>
      </c>
      <c r="G33" s="58"/>
      <c r="H33" s="57">
        <v>400</v>
      </c>
      <c r="I33" s="58"/>
      <c r="J33" s="100">
        <f t="shared" si="5"/>
        <v>0</v>
      </c>
    </row>
    <row r="37" spans="1:10">
      <c r="B37" s="59"/>
    </row>
  </sheetData>
  <sheetProtection algorithmName="SHA-512" hashValue="JS4GUMOFLmLCsErCfOCjwaJrSKdsS7dFB8P//Yu+A0UsJuZVZ7b406j/dRB8ujLywWgSfK9Jy+iBiCXWall+9Q==" saltValue="lO6NxN4wQQhxiVfzVFUFLA==" spinCount="100000" sheet="1" objects="1" scenarios="1"/>
  <mergeCells count="6">
    <mergeCell ref="A4:J4"/>
    <mergeCell ref="A3:J3"/>
    <mergeCell ref="A5:J5"/>
    <mergeCell ref="A1:J1"/>
    <mergeCell ref="J7:J8"/>
    <mergeCell ref="B7:I7"/>
  </mergeCells>
  <phoneticPr fontId="2" type="noConversion"/>
  <printOptions horizontalCentered="1" verticalCentered="1"/>
  <pageMargins left="0.79000000000000015" right="0.79000000000000015" top="0.98" bottom="0.98" header="0" footer="0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zoomScaleNormal="100" zoomScalePageLayoutView="140" workbookViewId="0">
      <selection sqref="A1:H1"/>
    </sheetView>
  </sheetViews>
  <sheetFormatPr baseColWidth="10" defaultColWidth="11.453125" defaultRowHeight="13"/>
  <cols>
    <col min="1" max="1" width="33.36328125" style="63" bestFit="1" customWidth="1"/>
    <col min="2" max="2" width="39.7265625" style="63" customWidth="1"/>
    <col min="3" max="3" width="9.36328125" style="90" bestFit="1" customWidth="1"/>
    <col min="4" max="5" width="11.7265625" style="63" bestFit="1" customWidth="1"/>
    <col min="6" max="6" width="11.7265625" style="63" customWidth="1"/>
    <col min="7" max="7" width="9.453125" style="63" bestFit="1" customWidth="1"/>
    <col min="8" max="8" width="12.7265625" style="63" bestFit="1" customWidth="1"/>
    <col min="9" max="9" width="15" style="63" customWidth="1"/>
    <col min="10" max="16384" width="11.453125" style="63"/>
  </cols>
  <sheetData>
    <row r="1" spans="1:8">
      <c r="A1" s="127" t="s">
        <v>58</v>
      </c>
      <c r="B1" s="127"/>
      <c r="C1" s="127"/>
      <c r="D1" s="127"/>
      <c r="E1" s="127"/>
      <c r="F1" s="127"/>
      <c r="G1" s="127"/>
      <c r="H1" s="127"/>
    </row>
    <row r="2" spans="1:8">
      <c r="A2" s="62"/>
      <c r="B2" s="62"/>
      <c r="C2" s="62"/>
      <c r="D2" s="62"/>
      <c r="E2" s="62"/>
      <c r="F2" s="62"/>
    </row>
    <row r="3" spans="1:8">
      <c r="A3" s="127" t="s">
        <v>10</v>
      </c>
      <c r="B3" s="127"/>
      <c r="C3" s="127"/>
      <c r="D3" s="127"/>
      <c r="E3" s="127"/>
      <c r="F3" s="127"/>
      <c r="G3" s="127"/>
      <c r="H3" s="127"/>
    </row>
    <row r="4" spans="1:8">
      <c r="A4" s="128" t="str">
        <f>+Balance!A4</f>
        <v>Entidad:</v>
      </c>
      <c r="B4" s="128"/>
      <c r="C4" s="128"/>
      <c r="D4" s="128"/>
      <c r="E4" s="128"/>
      <c r="F4" s="128"/>
      <c r="G4" s="128"/>
      <c r="H4" s="128"/>
    </row>
    <row r="5" spans="1:8">
      <c r="A5" s="129" t="str">
        <f>+Balance!A5</f>
        <v>Período:</v>
      </c>
      <c r="B5" s="129"/>
      <c r="C5" s="129"/>
      <c r="D5" s="129"/>
      <c r="E5" s="129"/>
      <c r="F5" s="129"/>
      <c r="G5" s="129"/>
      <c r="H5" s="130"/>
    </row>
    <row r="6" spans="1:8" ht="52">
      <c r="A6" s="64" t="s">
        <v>11</v>
      </c>
      <c r="B6" s="64" t="s">
        <v>230</v>
      </c>
      <c r="C6" s="65" t="s">
        <v>19</v>
      </c>
      <c r="D6" s="66">
        <f>+Balance!B8</f>
        <v>45291</v>
      </c>
      <c r="E6" s="66">
        <f>+Balance!D8</f>
        <v>44926</v>
      </c>
      <c r="F6" s="66">
        <f>+Balance!F8</f>
        <v>44561</v>
      </c>
      <c r="G6" s="67" t="s">
        <v>228</v>
      </c>
      <c r="H6" s="67" t="s">
        <v>114</v>
      </c>
    </row>
    <row r="7" spans="1:8" s="75" customFormat="1">
      <c r="A7" s="68" t="s">
        <v>9</v>
      </c>
      <c r="B7" s="69"/>
      <c r="C7" s="70"/>
      <c r="D7" s="71"/>
      <c r="E7" s="72"/>
      <c r="F7" s="72"/>
      <c r="G7" s="73"/>
      <c r="H7" s="74"/>
    </row>
    <row r="8" spans="1:8" s="75" customFormat="1" ht="25" customHeight="1">
      <c r="A8" s="76" t="s">
        <v>60</v>
      </c>
      <c r="B8" s="77" t="s">
        <v>35</v>
      </c>
      <c r="C8" s="78" t="s">
        <v>20</v>
      </c>
      <c r="D8" s="101">
        <f>Balance!B9-Balance!L9</f>
        <v>-790739</v>
      </c>
      <c r="E8" s="101">
        <f>+Balance!D9-Balance!N9</f>
        <v>-34915</v>
      </c>
      <c r="F8" s="101">
        <f>+Balance!F9-Balance!P9</f>
        <v>-492750</v>
      </c>
      <c r="G8" s="101">
        <f>+D8-E8</f>
        <v>-755824</v>
      </c>
      <c r="H8" s="93">
        <f>IF(E8=0,"",D8/E8-1)</f>
        <v>21.647544035514823</v>
      </c>
    </row>
    <row r="9" spans="1:8" s="75" customFormat="1" ht="25" customHeight="1">
      <c r="A9" s="79" t="s">
        <v>62</v>
      </c>
      <c r="B9" s="77" t="s">
        <v>36</v>
      </c>
      <c r="C9" s="78" t="s">
        <v>21</v>
      </c>
      <c r="D9" s="102">
        <f>IF(Balance!L9=0,0,Balance!B9/Balance!L9)</f>
        <v>0.91059158720429378</v>
      </c>
      <c r="E9" s="102">
        <f>IF(Balance!N9=0,0,Balance!D9/Balance!N9)</f>
        <v>0.99595824870331728</v>
      </c>
      <c r="F9" s="102">
        <f>IF(Balance!P9=0,0,Balance!F9/Balance!P9)</f>
        <v>0.94048084950949695</v>
      </c>
      <c r="G9" s="102">
        <f>+D9-E9</f>
        <v>-8.53666614990235E-2</v>
      </c>
      <c r="H9" s="93">
        <f>IF(E9=0,"",D9/E9-1)</f>
        <v>-8.5713092501785271E-2</v>
      </c>
    </row>
    <row r="10" spans="1:8" s="75" customFormat="1" ht="25" customHeight="1">
      <c r="A10" s="76" t="s">
        <v>12</v>
      </c>
      <c r="B10" s="80" t="s">
        <v>187</v>
      </c>
      <c r="C10" s="78" t="s">
        <v>21</v>
      </c>
      <c r="D10" s="102">
        <f>IF(Balance!L9=0,0,(Balance!B9-Balance!B15)/Balance!L9)</f>
        <v>0.90627425692745345</v>
      </c>
      <c r="E10" s="102">
        <f>IF(Balance!N9=0,0,(Balance!D9-Balance!D15)/Balance!N9)</f>
        <v>0.99178974049213164</v>
      </c>
      <c r="F10" s="102">
        <f>IF(Balance!P9=0,0,(Balance!F9-Balance!F15)/Balance!P9)</f>
        <v>0.93728934267183062</v>
      </c>
      <c r="G10" s="102">
        <f>+D10-E10</f>
        <v>-8.5515483564678196E-2</v>
      </c>
      <c r="H10" s="93">
        <f t="shared" ref="H10:H11" si="0">IF(E10=0,"",D10/E10-1)</f>
        <v>-8.6223400054778687E-2</v>
      </c>
    </row>
    <row r="11" spans="1:8" s="75" customFormat="1" ht="25" customHeight="1">
      <c r="A11" s="76" t="s">
        <v>41</v>
      </c>
      <c r="B11" s="80" t="s">
        <v>160</v>
      </c>
      <c r="C11" s="78" t="s">
        <v>21</v>
      </c>
      <c r="D11" s="102">
        <f>IF(Balance!L9=0,0,Balance!B10/Balance!L9)</f>
        <v>0.72202331423929766</v>
      </c>
      <c r="E11" s="102">
        <f>IF(Balance!N9=0,0,Balance!D10/Balance!N9)</f>
        <v>0.86566371656829788</v>
      </c>
      <c r="F11" s="102">
        <f>IF(Balance!P9=0,0,Balance!F10/Balance!P9)</f>
        <v>0.7861870395494639</v>
      </c>
      <c r="G11" s="102">
        <f>+D11-E11</f>
        <v>-0.14364040232900022</v>
      </c>
      <c r="H11" s="93">
        <f t="shared" si="0"/>
        <v>-0.16593094937422792</v>
      </c>
    </row>
    <row r="12" spans="1:8" ht="58" customHeight="1">
      <c r="A12" s="76" t="s">
        <v>13</v>
      </c>
      <c r="B12" s="80" t="s">
        <v>207</v>
      </c>
      <c r="C12" s="78" t="s">
        <v>22</v>
      </c>
      <c r="D12" s="103">
        <f>IF(Resultados!B10+Resultados!B13+Resultados!B14=0,0,(+Balance!B10+Balance!B13)/((+Resultados!B10+Resultados!B13+Resultados!B14)*-1/365))</f>
        <v>175.00907278626056</v>
      </c>
      <c r="E12" s="103">
        <f>IF(Resultados!D10+Resultados!D13+Resultados!D14=0,0,(+Balance!D10+Balance!D13)/((+Resultados!D10+Resultados!D13+Resultados!D14)*-1/365))</f>
        <v>208.57986934122283</v>
      </c>
      <c r="F12" s="103">
        <f>IF(Resultados!F10+Resultados!F13+Resultados!F14=0,0,(+Balance!F10+Balance!F13)/((+Resultados!F10+Resultados!F13+Resultados!F14)*-1/365))</f>
        <v>195.9097661121028</v>
      </c>
      <c r="G12" s="102">
        <f>+D12-E12</f>
        <v>-33.570796554962271</v>
      </c>
      <c r="H12" s="95">
        <f>IF(E12=0,0,D12/E12-1)</f>
        <v>-0.16094936036249341</v>
      </c>
    </row>
    <row r="13" spans="1:8" ht="25" customHeight="1">
      <c r="A13" s="81" t="s">
        <v>233</v>
      </c>
      <c r="B13" s="82"/>
      <c r="C13" s="83"/>
      <c r="D13" s="104"/>
      <c r="E13" s="105"/>
      <c r="F13" s="105"/>
      <c r="G13" s="106"/>
      <c r="H13" s="107"/>
    </row>
    <row r="14" spans="1:8" ht="41.5" customHeight="1">
      <c r="A14" s="85" t="s">
        <v>109</v>
      </c>
      <c r="B14" s="80" t="s">
        <v>191</v>
      </c>
      <c r="C14" s="86" t="s">
        <v>21</v>
      </c>
      <c r="D14" s="108">
        <f>IF(Balance!B39=0,0,Resultados!B9/Balance!B39)</f>
        <v>12.816088262324364</v>
      </c>
      <c r="E14" s="108">
        <f>IF(Balance!D39=0,0,Resultados!D9/Balance!D39)</f>
        <v>15.710604718498296</v>
      </c>
      <c r="F14" s="108">
        <f>IF(Balance!F39=0,0,Resultados!F9/Balance!F39)</f>
        <v>14.451221698243291</v>
      </c>
      <c r="G14" s="108">
        <f t="shared" ref="G14:G20" si="1">+D14-E14</f>
        <v>-2.8945164561739318</v>
      </c>
      <c r="H14" s="93">
        <f t="shared" ref="H14" si="2">IF(E14=0,"",D14/E14-1)</f>
        <v>-0.18423965900980321</v>
      </c>
    </row>
    <row r="15" spans="1:8" ht="42.5" customHeight="1">
      <c r="A15" s="85" t="s">
        <v>110</v>
      </c>
      <c r="B15" s="80" t="s">
        <v>208</v>
      </c>
      <c r="C15" s="86" t="s">
        <v>22</v>
      </c>
      <c r="D15" s="108">
        <f>IF(Resultados!B9/365=0,0,Balance!B39/(Resultados!B9/365))</f>
        <v>28.479828831469248</v>
      </c>
      <c r="E15" s="108">
        <f>IF(Resultados!D9/365=0,0,Balance!D39/(Resultados!D9/365))</f>
        <v>23.232714878901792</v>
      </c>
      <c r="F15" s="108">
        <f>IF(Resultados!F9/365=0,0,Balance!F39/(Resultados!F9/365))</f>
        <v>25.257380145539518</v>
      </c>
      <c r="G15" s="108">
        <f t="shared" si="1"/>
        <v>5.2471139525674566</v>
      </c>
      <c r="H15" s="96">
        <f>IF(E15=0,0,D15/E15-1)</f>
        <v>0.22585022800466992</v>
      </c>
    </row>
    <row r="16" spans="1:8" ht="50">
      <c r="A16" s="85" t="s">
        <v>111</v>
      </c>
      <c r="B16" s="80" t="s">
        <v>209</v>
      </c>
      <c r="C16" s="86" t="s">
        <v>22</v>
      </c>
      <c r="D16" s="108">
        <f>IF(Balance!B15-Balance!D15=0,0,(Balance!B41)/((Resultados!B10*-1+(Balance!B15-Balance!D15))/365))</f>
        <v>86.540128773105621</v>
      </c>
      <c r="E16" s="108">
        <f>IF(Balance!D15-Balance!F15=0,0,(Balance!D41)/((Resultados!D10*-1+(Balance!D15-Balance!F15))/365))</f>
        <v>91.529497412859811</v>
      </c>
      <c r="F16" s="108">
        <f>IF(Balance!F15-Balance!H15=0,0,(Balance!F41)/((Resultados!F10*-1+(Balance!F15-Balance!H15))/365))</f>
        <v>77.750235464095582</v>
      </c>
      <c r="G16" s="108">
        <f t="shared" si="1"/>
        <v>-4.9893686397541899</v>
      </c>
      <c r="H16" s="96">
        <f>IF(E16=0,0,D16/E16-1)</f>
        <v>-5.4511045955477844E-2</v>
      </c>
    </row>
    <row r="17" spans="1:8" ht="19.5" customHeight="1">
      <c r="A17" s="85" t="s">
        <v>232</v>
      </c>
      <c r="B17" s="80" t="s">
        <v>192</v>
      </c>
      <c r="C17" s="86" t="s">
        <v>21</v>
      </c>
      <c r="D17" s="109">
        <f>IF(Balance!B40=0,0,Resultados!B10/Balance!B40)*-1</f>
        <v>363.83267963284948</v>
      </c>
      <c r="E17" s="109">
        <f>IF(Balance!D40=0,0,Resultados!D10/Balance!D40)*-1</f>
        <v>388.27549974372118</v>
      </c>
      <c r="F17" s="109">
        <f>IF(Balance!F40=0,0,Resultados!F10/Balance!F40)*-1</f>
        <v>454.3341674687199</v>
      </c>
      <c r="G17" s="108">
        <f t="shared" si="1"/>
        <v>-24.442820110871708</v>
      </c>
      <c r="H17" s="96">
        <f>IF(E17=0,0,D17/E17-1)</f>
        <v>-6.2952259740841288E-2</v>
      </c>
    </row>
    <row r="18" spans="1:8" ht="25" customHeight="1">
      <c r="A18" s="85" t="s">
        <v>231</v>
      </c>
      <c r="B18" s="80" t="s">
        <v>193</v>
      </c>
      <c r="C18" s="86" t="s">
        <v>22</v>
      </c>
      <c r="D18" s="109">
        <f>IF(D17=0,0,365/D17)</f>
        <v>1.0032083988945921</v>
      </c>
      <c r="E18" s="109">
        <f>IF(E17=0,0,365/E17)</f>
        <v>0.94005416319318624</v>
      </c>
      <c r="F18" s="109">
        <f>IF(F17=0,0,365/F17)</f>
        <v>0.80337343333336164</v>
      </c>
      <c r="G18" s="108">
        <f t="shared" si="1"/>
        <v>6.3154235701405881E-2</v>
      </c>
      <c r="H18" s="96">
        <f>IF(E18=0,0,D18/E18-1)</f>
        <v>6.7181486103824906E-2</v>
      </c>
    </row>
    <row r="19" spans="1:8" ht="30" customHeight="1">
      <c r="A19" s="85" t="s">
        <v>112</v>
      </c>
      <c r="B19" s="80" t="s">
        <v>194</v>
      </c>
      <c r="C19" s="86" t="s">
        <v>21</v>
      </c>
      <c r="D19" s="108">
        <f>IF(Balance!B42=0,0,Resultados!B9/Balance!B42)</f>
        <v>0.75037944740401996</v>
      </c>
      <c r="E19" s="108">
        <f>IF(Balance!D42=0,0,Resultados!D9/Balance!D42)</f>
        <v>0.71168243857175462</v>
      </c>
      <c r="F19" s="108">
        <f>IF(Balance!F42=0,0,Resultados!F9/Balance!F42)</f>
        <v>1.2326754529118604</v>
      </c>
      <c r="G19" s="108">
        <f t="shared" si="1"/>
        <v>3.8697008832265345E-2</v>
      </c>
      <c r="H19" s="93">
        <f t="shared" ref="H19" si="3">IF(E19=0,"",D19/E19-1)</f>
        <v>5.4373983022434569E-2</v>
      </c>
    </row>
    <row r="20" spans="1:8" ht="27" customHeight="1">
      <c r="A20" s="85" t="s">
        <v>113</v>
      </c>
      <c r="B20" s="80" t="s">
        <v>210</v>
      </c>
      <c r="C20" s="86" t="s">
        <v>21</v>
      </c>
      <c r="D20" s="108">
        <f>IF(Balance!B43=0,0,Resultados!B9/Balance!B43)</f>
        <v>0.4773915357889561</v>
      </c>
      <c r="E20" s="108">
        <f>IF(Balance!D43=0,0,Resultados!D9/Balance!D43)</f>
        <v>0.46437313504938421</v>
      </c>
      <c r="F20" s="108">
        <f>IF(Balance!F43=0,0,Resultados!F9/Balance!F43)</f>
        <v>0.55860371391014307</v>
      </c>
      <c r="G20" s="108">
        <f t="shared" si="1"/>
        <v>1.3018400739571889E-2</v>
      </c>
      <c r="H20" s="93">
        <f t="shared" ref="H20:H25" si="4">IF(E20=0,"",D20/E20-1)</f>
        <v>2.8034353749140539E-2</v>
      </c>
    </row>
    <row r="21" spans="1:8" ht="25" customHeight="1">
      <c r="A21" s="81" t="s">
        <v>71</v>
      </c>
      <c r="B21" s="80"/>
      <c r="C21" s="86"/>
      <c r="D21" s="109"/>
      <c r="E21" s="109"/>
      <c r="F21" s="109"/>
      <c r="G21" s="108"/>
      <c r="H21" s="93"/>
    </row>
    <row r="22" spans="1:8" ht="25" customHeight="1">
      <c r="A22" s="85" t="s">
        <v>72</v>
      </c>
      <c r="B22" s="80" t="s">
        <v>195</v>
      </c>
      <c r="C22" s="86" t="s">
        <v>21</v>
      </c>
      <c r="D22" s="102">
        <f>IF(Balance!B36=0,0,(Balance!L9+Balance!L19)/Balance!B36)</f>
        <v>0.56554382864173691</v>
      </c>
      <c r="E22" s="108">
        <f>IF(Balance!D36=0,0,(Balance!N9+Balance!N19)/Balance!D36)</f>
        <v>0.57850031576272709</v>
      </c>
      <c r="F22" s="108">
        <f>IF(Balance!F36=0,0,(Balance!P9+Balance!P19)/Balance!F36)</f>
        <v>0.58495837312913634</v>
      </c>
      <c r="G22" s="102">
        <f>+D22-E22</f>
        <v>-1.2956487120990179E-2</v>
      </c>
      <c r="H22" s="93">
        <f t="shared" si="4"/>
        <v>-2.2396681156357956E-2</v>
      </c>
    </row>
    <row r="23" spans="1:8" ht="25" customHeight="1">
      <c r="A23" s="85" t="s">
        <v>73</v>
      </c>
      <c r="B23" s="80" t="s">
        <v>76</v>
      </c>
      <c r="C23" s="86" t="s">
        <v>21</v>
      </c>
      <c r="D23" s="102">
        <f>IF(Balance!L30=0,0,(Balance!L9+Balance!L19)/Balance!L30)</f>
        <v>1.3017281510207295</v>
      </c>
      <c r="E23" s="102">
        <f>IF(Balance!N30=0,0,(Balance!N9+Balance!N19)/Balance!N30)</f>
        <v>1.3724810181282947</v>
      </c>
      <c r="F23" s="102">
        <f>IF(Balance!P30=0,0,(Balance!P9+Balance!P19)/Balance!P30)</f>
        <v>1.4093968779453072</v>
      </c>
      <c r="G23" s="102">
        <f>+D23-E23</f>
        <v>-7.0752867107565232E-2</v>
      </c>
      <c r="H23" s="93">
        <f t="shared" si="4"/>
        <v>-5.1551071507024315E-2</v>
      </c>
    </row>
    <row r="24" spans="1:8" ht="25" customHeight="1">
      <c r="A24" s="85" t="s">
        <v>74</v>
      </c>
      <c r="B24" s="80" t="s">
        <v>196</v>
      </c>
      <c r="C24" s="86" t="s">
        <v>21</v>
      </c>
      <c r="D24" s="102">
        <f>IF(Balance!L30=0,0,Balance!B36/Balance!L30)</f>
        <v>2.3017281510207295</v>
      </c>
      <c r="E24" s="102">
        <f>IF(Balance!N30=0,0,Balance!D36/Balance!N30)</f>
        <v>2.3724810181282945</v>
      </c>
      <c r="F24" s="102">
        <f>IF(Balance!P30=0,0,Balance!F36/Balance!P30)</f>
        <v>2.4093968779453072</v>
      </c>
      <c r="G24" s="102">
        <f>+D24-E24</f>
        <v>-7.075286710756501E-2</v>
      </c>
      <c r="H24" s="93">
        <f t="shared" si="4"/>
        <v>-2.9822311144720337E-2</v>
      </c>
    </row>
    <row r="25" spans="1:8" ht="25" customHeight="1">
      <c r="A25" s="85" t="s">
        <v>75</v>
      </c>
      <c r="B25" s="80" t="s">
        <v>197</v>
      </c>
      <c r="C25" s="86" t="s">
        <v>21</v>
      </c>
      <c r="D25" s="102">
        <f>IF(Resultados!B19=0,0,Resultados!B29/Resultados!B19*-1)</f>
        <v>2.7427851445988973</v>
      </c>
      <c r="E25" s="102">
        <f>IF(Resultados!D19=0,0,Resultados!D29/Resultados!D19*-1)</f>
        <v>1.7391454622998539</v>
      </c>
      <c r="F25" s="102">
        <f>IF(Resultados!F19=0,0,Resultados!F29/Resultados!F19*-1)</f>
        <v>1.5829309597889016</v>
      </c>
      <c r="G25" s="102">
        <f>+D25-E25</f>
        <v>1.0036396822990434</v>
      </c>
      <c r="H25" s="93">
        <f t="shared" si="4"/>
        <v>0.57708783080848547</v>
      </c>
    </row>
    <row r="26" spans="1:8" ht="25" customHeight="1">
      <c r="A26" s="81" t="s">
        <v>25</v>
      </c>
      <c r="B26" s="84"/>
      <c r="C26" s="87"/>
      <c r="D26" s="107"/>
      <c r="E26" s="107"/>
      <c r="F26" s="107"/>
      <c r="G26" s="101"/>
      <c r="H26" s="110"/>
    </row>
    <row r="27" spans="1:8" ht="25" customHeight="1">
      <c r="A27" s="85" t="s">
        <v>68</v>
      </c>
      <c r="B27" s="80" t="s">
        <v>213</v>
      </c>
      <c r="C27" s="78" t="s">
        <v>6</v>
      </c>
      <c r="D27" s="93">
        <f>IF(Balance!B43=0,0,Resultados!B23/Balance!B43)</f>
        <v>3.823547297959104E-2</v>
      </c>
      <c r="E27" s="93">
        <f>IF(Balance!D43=0,0,Resultados!D23/Balance!D43)</f>
        <v>3.3858737819436886E-2</v>
      </c>
      <c r="F27" s="93">
        <f>IF(Balance!F43=0,0,Resultados!F23/Balance!F43)</f>
        <v>-4.5734418643767545E-2</v>
      </c>
      <c r="G27" s="103">
        <f t="shared" ref="G27:G32" si="5">+(D27-E27)*100</f>
        <v>0.43767351601541538</v>
      </c>
      <c r="H27" s="111" t="s">
        <v>115</v>
      </c>
    </row>
    <row r="28" spans="1:8" ht="25" customHeight="1">
      <c r="A28" s="85" t="s">
        <v>69</v>
      </c>
      <c r="B28" s="80" t="s">
        <v>198</v>
      </c>
      <c r="C28" s="78" t="s">
        <v>6</v>
      </c>
      <c r="D28" s="93">
        <f>IF(Balance!B43=0,0,Resultados!B29/Balance!B43)</f>
        <v>4.5199908501348182E-2</v>
      </c>
      <c r="E28" s="93">
        <f>IF(Balance!D43=0,0,Resultados!D29/Balance!D43)</f>
        <v>3.1439402847217711E-2</v>
      </c>
      <c r="F28" s="93">
        <f>IF(Balance!F43=0,0,Resultados!F29/Balance!F43)</f>
        <v>2.2952737233926435E-2</v>
      </c>
      <c r="G28" s="102">
        <f t="shared" si="5"/>
        <v>1.376050565413047</v>
      </c>
      <c r="H28" s="111" t="s">
        <v>115</v>
      </c>
    </row>
    <row r="29" spans="1:8" ht="25" customHeight="1">
      <c r="A29" s="85" t="s">
        <v>70</v>
      </c>
      <c r="B29" s="80" t="s">
        <v>212</v>
      </c>
      <c r="C29" s="78" t="s">
        <v>6</v>
      </c>
      <c r="D29" s="93">
        <f>IF(Balance!B44=0,0,Resultados!B23/Balance!B44)</f>
        <v>8.9318014042951782E-2</v>
      </c>
      <c r="E29" s="93">
        <f>IF(Balance!D44=0,0,Resultados!D23/Balance!D44)</f>
        <v>8.0936476892684725E-2</v>
      </c>
      <c r="F29" s="93">
        <f>IF(Balance!F44=0,0,Resultados!F23/Balance!F44)</f>
        <v>-0.11931390134039215</v>
      </c>
      <c r="G29" s="103">
        <f t="shared" si="5"/>
        <v>0.83815371502670577</v>
      </c>
      <c r="H29" s="111" t="s">
        <v>115</v>
      </c>
    </row>
    <row r="30" spans="1:8" ht="25" customHeight="1">
      <c r="A30" s="76" t="s">
        <v>14</v>
      </c>
      <c r="B30" s="80" t="s">
        <v>199</v>
      </c>
      <c r="C30" s="78" t="s">
        <v>6</v>
      </c>
      <c r="D30" s="93">
        <f>IF(Resultados!B9=0,0,Resultados!B11/Resultados!B9)</f>
        <v>0.21884584345014196</v>
      </c>
      <c r="E30" s="93">
        <f>IF(Resultados!D9=0,0,Resultados!D11/Resultados!D9)</f>
        <v>0.25192160797370405</v>
      </c>
      <c r="F30" s="93">
        <f>IF(Resultados!F9=0,0,Resultados!F11/Resultados!F9)</f>
        <v>0.1956805278685394</v>
      </c>
      <c r="G30" s="103">
        <f t="shared" si="5"/>
        <v>-3.307576452356209</v>
      </c>
      <c r="H30" s="111" t="s">
        <v>115</v>
      </c>
    </row>
    <row r="31" spans="1:8" ht="25" customHeight="1">
      <c r="A31" s="76" t="s">
        <v>15</v>
      </c>
      <c r="B31" s="80" t="s">
        <v>211</v>
      </c>
      <c r="C31" s="78" t="s">
        <v>6</v>
      </c>
      <c r="D31" s="93">
        <f>IF(Resultados!B9=0,0,Resultados!B23/Resultados!B9)</f>
        <v>8.0092481984209443E-2</v>
      </c>
      <c r="E31" s="93">
        <f>IF(Resultados!D9=0,0,Resultados!D23/Resultados!D9)</f>
        <v>7.2912783414648116E-2</v>
      </c>
      <c r="F31" s="93">
        <f>IF(Resultados!F9=0,0,Resultados!F23/Resultados!F9)</f>
        <v>-8.1872743601422562E-2</v>
      </c>
      <c r="G31" s="103">
        <f t="shared" si="5"/>
        <v>0.71796985695613269</v>
      </c>
      <c r="H31" s="111" t="s">
        <v>115</v>
      </c>
    </row>
    <row r="32" spans="1:8" ht="25" customHeight="1">
      <c r="A32" s="76" t="s">
        <v>16</v>
      </c>
      <c r="B32" s="80" t="s">
        <v>200</v>
      </c>
      <c r="C32" s="78" t="s">
        <v>6</v>
      </c>
      <c r="D32" s="93">
        <f>IF(Resultados!B9=0,0,Resultados!B29/Resultados!B9)</f>
        <v>9.4681001050110847E-2</v>
      </c>
      <c r="E32" s="93">
        <f>IF(Resultados!D9=0,0,Resultados!D29/Resultados!D9)</f>
        <v>6.770288906543713E-2</v>
      </c>
      <c r="F32" s="93">
        <f>IF(Resultados!F9=0,0,Resultados!F29/Resultados!F9)</f>
        <v>4.1089481975085128E-2</v>
      </c>
      <c r="G32" s="102">
        <f t="shared" si="5"/>
        <v>2.6978111984673716</v>
      </c>
      <c r="H32" s="111" t="s">
        <v>115</v>
      </c>
    </row>
    <row r="33" spans="1:8" ht="25" customHeight="1">
      <c r="A33" s="81" t="s">
        <v>121</v>
      </c>
      <c r="B33" s="77"/>
      <c r="C33" s="78"/>
      <c r="D33" s="93"/>
      <c r="E33" s="93"/>
      <c r="F33" s="93"/>
      <c r="G33" s="102"/>
      <c r="H33" s="111"/>
    </row>
    <row r="34" spans="1:8" ht="17.5" customHeight="1">
      <c r="A34" s="85" t="s">
        <v>178</v>
      </c>
      <c r="B34" s="88" t="s">
        <v>201</v>
      </c>
      <c r="C34" s="89" t="s">
        <v>184</v>
      </c>
      <c r="D34" s="109">
        <f>(Resultados!B23/Resultados!B30)*1000</f>
        <v>32.875855522910058</v>
      </c>
      <c r="E34" s="109">
        <f>(Resultados!D23/Resultados!D30)*1000</f>
        <v>28.064752976378976</v>
      </c>
      <c r="F34" s="109">
        <f>(Resultados!F23/Resultados!F30)*1000</f>
        <v>-20.99736711604163</v>
      </c>
      <c r="G34" s="108">
        <f>+D34-E34</f>
        <v>4.8111025465310817</v>
      </c>
      <c r="H34" s="95">
        <f t="shared" ref="H34:H40" si="6">IF(E34=0,0,D34/E34-1)</f>
        <v>0.17142864398558588</v>
      </c>
    </row>
    <row r="35" spans="1:8" ht="25">
      <c r="A35" s="88" t="s">
        <v>179</v>
      </c>
      <c r="B35" s="80" t="s">
        <v>173</v>
      </c>
      <c r="C35" s="86" t="s">
        <v>21</v>
      </c>
      <c r="D35" s="108">
        <f>Resultados!B33/Ratios!D34</f>
        <v>12.166983752597821</v>
      </c>
      <c r="E35" s="108">
        <f>Resultados!D33/Ratios!E34</f>
        <v>14.25275327870032</v>
      </c>
      <c r="F35" s="108">
        <f>Resultados!F33/Ratios!F34</f>
        <v>-19.050007450429671</v>
      </c>
      <c r="G35" s="109">
        <f t="shared" ref="G35:G40" si="7">+D35-E35</f>
        <v>-2.0857695261024993</v>
      </c>
      <c r="H35" s="95">
        <f t="shared" si="6"/>
        <v>-0.14634151628931424</v>
      </c>
    </row>
    <row r="36" spans="1:8" ht="25">
      <c r="A36" s="88" t="s">
        <v>180</v>
      </c>
      <c r="B36" s="80" t="s">
        <v>202</v>
      </c>
      <c r="C36" s="86" t="s">
        <v>21</v>
      </c>
      <c r="D36" s="109">
        <f>Resultados!B23/Resultados!B33</f>
        <v>3459.63</v>
      </c>
      <c r="E36" s="109">
        <f>Resultados!D23/Resultados!D33</f>
        <v>2953.3425000000002</v>
      </c>
      <c r="F36" s="109">
        <f>Resultados!F23/Resultados!F33</f>
        <v>-3003.1824999999999</v>
      </c>
      <c r="G36" s="109">
        <f t="shared" ref="G36" si="8">+D36-E36</f>
        <v>506.28749999999991</v>
      </c>
      <c r="H36" s="95">
        <f t="shared" si="6"/>
        <v>0.17142864398558588</v>
      </c>
    </row>
    <row r="37" spans="1:8" ht="23" customHeight="1">
      <c r="A37" s="88" t="s">
        <v>181</v>
      </c>
      <c r="B37" s="80" t="s">
        <v>182</v>
      </c>
      <c r="C37" s="86" t="s">
        <v>123</v>
      </c>
      <c r="D37" s="108">
        <f>Resultados!B32/Resultados!B30</f>
        <v>9.8627424028102165E-3</v>
      </c>
      <c r="E37" s="108">
        <f>Resultados!D32/Resultados!D30</f>
        <v>8.4262179538378383E-3</v>
      </c>
      <c r="F37" s="108">
        <f>Resultados!F32/Resultados!F30</f>
        <v>6.1946684086733577E-3</v>
      </c>
      <c r="G37" s="108">
        <f>+D37-E37</f>
        <v>1.4365244489723782E-3</v>
      </c>
      <c r="H37" s="95">
        <f t="shared" si="6"/>
        <v>0.17048270728839787</v>
      </c>
    </row>
    <row r="38" spans="1:8" ht="25">
      <c r="A38" s="88" t="s">
        <v>174</v>
      </c>
      <c r="B38" s="80" t="s">
        <v>175</v>
      </c>
      <c r="C38" s="86" t="s">
        <v>21</v>
      </c>
      <c r="D38" s="94">
        <f>Resultados!B32/Resultados!B33</f>
        <v>1037.8875</v>
      </c>
      <c r="E38" s="94">
        <f>Resultados!D32/Resultados!D33</f>
        <v>886.71749999999997</v>
      </c>
      <c r="F38" s="108">
        <f>Resultados!F32/Resultados!F33</f>
        <v>886.00250000000005</v>
      </c>
      <c r="G38" s="108">
        <f t="shared" si="7"/>
        <v>151.17000000000007</v>
      </c>
      <c r="H38" s="95">
        <f t="shared" si="6"/>
        <v>0.17048270728839809</v>
      </c>
    </row>
    <row r="39" spans="1:8" ht="21" customHeight="1">
      <c r="A39" s="88" t="s">
        <v>183</v>
      </c>
      <c r="B39" s="80" t="s">
        <v>203</v>
      </c>
      <c r="C39" s="86" t="s">
        <v>21</v>
      </c>
      <c r="D39" s="94">
        <f>Resultados!B32/Resultados!B23</f>
        <v>0.29999956642762377</v>
      </c>
      <c r="E39" s="94">
        <f>Resultados!D32/Resultados!D23</f>
        <v>0.30024201392151434</v>
      </c>
      <c r="F39" s="108">
        <f>Resultados!F32/Resultados!F23</f>
        <v>-0.2950211983454219</v>
      </c>
      <c r="G39" s="108">
        <f t="shared" ref="G39" si="9">+D39-E39</f>
        <v>-2.4244749389057407E-4</v>
      </c>
      <c r="H39" s="95">
        <f t="shared" si="6"/>
        <v>-8.0750688660768954E-4</v>
      </c>
    </row>
    <row r="40" spans="1:8" ht="25">
      <c r="A40" s="88" t="s">
        <v>176</v>
      </c>
      <c r="B40" s="80" t="s">
        <v>177</v>
      </c>
      <c r="C40" s="86" t="s">
        <v>21</v>
      </c>
      <c r="D40" s="109">
        <f>Resultados!B33/Resultados!B31</f>
        <v>1053.7880167626681</v>
      </c>
      <c r="E40" s="109">
        <f>Resultados!D33/Resultados!D31</f>
        <v>1121.799772126262</v>
      </c>
      <c r="F40" s="109">
        <f>Resultados!F33/Resultados!F31</f>
        <v>1613.5539532857315</v>
      </c>
      <c r="G40" s="108">
        <f t="shared" si="7"/>
        <v>-68.01175536359392</v>
      </c>
      <c r="H40" s="95">
        <f t="shared" si="6"/>
        <v>-6.062735708591227E-2</v>
      </c>
    </row>
    <row r="41" spans="1:8">
      <c r="D41" s="91"/>
      <c r="E41" s="91"/>
      <c r="F41" s="91"/>
      <c r="G41" s="92"/>
    </row>
    <row r="42" spans="1:8">
      <c r="D42" s="91"/>
      <c r="E42" s="91"/>
      <c r="F42" s="91"/>
      <c r="G42" s="92"/>
    </row>
    <row r="43" spans="1:8">
      <c r="D43" s="91"/>
      <c r="E43" s="91"/>
      <c r="F43" s="91"/>
      <c r="G43" s="92"/>
    </row>
    <row r="44" spans="1:8">
      <c r="D44" s="91"/>
      <c r="E44" s="91"/>
      <c r="F44" s="91"/>
      <c r="G44" s="92"/>
    </row>
    <row r="45" spans="1:8">
      <c r="D45" s="91"/>
      <c r="E45" s="91"/>
      <c r="F45" s="91"/>
    </row>
    <row r="46" spans="1:8">
      <c r="D46" s="91"/>
      <c r="E46" s="91"/>
      <c r="F46" s="91"/>
    </row>
  </sheetData>
  <sheetProtection algorithmName="SHA-512" hashValue="XF9t3CNyH9hG0wHyTfxHZwyV3ZlE7Tlbj7jiQeSbtNuYqqu3yqp7o9g2CLgLkpjty8zT/zwDjzlMmZFvKN6vjA==" saltValue="2/kYWHzH7ScsBO7Ep9e4UA==" spinCount="100000" sheet="1" objects="1" scenarios="1"/>
  <mergeCells count="4">
    <mergeCell ref="A1:H1"/>
    <mergeCell ref="A3:H3"/>
    <mergeCell ref="A4:H4"/>
    <mergeCell ref="A5:H5"/>
  </mergeCells>
  <phoneticPr fontId="2" type="noConversion"/>
  <conditionalFormatting sqref="D14:F14">
    <cfRule type="expression" priority="1" stopIfTrue="1">
      <formula>ISERROR($E14)</formula>
    </cfRule>
  </conditionalFormatting>
  <printOptions horizontalCentered="1" verticalCentered="1" gridLines="1"/>
  <pageMargins left="0.78740157480314965" right="0.78740157480314965" top="0.98425196850393704" bottom="0.98425196850393704" header="0" footer="0"/>
  <pageSetup scale="71" orientation="portrait" r:id="rId1"/>
  <headerFooter alignWithMargins="0"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E400-669B-4F96-94B1-AA4472A0C692}">
  <dimension ref="A1:C122"/>
  <sheetViews>
    <sheetView workbookViewId="0">
      <selection activeCell="A2" sqref="A2"/>
    </sheetView>
  </sheetViews>
  <sheetFormatPr baseColWidth="10" defaultRowHeight="12.5"/>
  <cols>
    <col min="3" max="3" width="56.36328125" bestFit="1" customWidth="1"/>
    <col min="4" max="4" width="4.7265625" customWidth="1"/>
    <col min="5" max="5" width="52.7265625" bestFit="1" customWidth="1"/>
  </cols>
  <sheetData>
    <row r="1" spans="1:3" ht="13">
      <c r="A1" s="1" t="s">
        <v>225</v>
      </c>
    </row>
    <row r="2" spans="1:3" ht="17" customHeight="1">
      <c r="A2" s="2" t="s">
        <v>246</v>
      </c>
    </row>
    <row r="3" spans="1:3">
      <c r="A3" s="2"/>
    </row>
    <row r="4" spans="1:3" ht="13">
      <c r="A4" s="1" t="s">
        <v>28</v>
      </c>
    </row>
    <row r="5" spans="1:3">
      <c r="B5" s="2" t="s">
        <v>65</v>
      </c>
    </row>
    <row r="6" spans="1:3">
      <c r="C6" s="2" t="s">
        <v>162</v>
      </c>
    </row>
    <row r="7" spans="1:3">
      <c r="C7" s="2" t="s">
        <v>79</v>
      </c>
    </row>
    <row r="8" spans="1:3">
      <c r="C8" s="2" t="s">
        <v>245</v>
      </c>
    </row>
    <row r="9" spans="1:3">
      <c r="C9" s="2" t="s">
        <v>80</v>
      </c>
    </row>
    <row r="10" spans="1:3">
      <c r="B10" s="2" t="s">
        <v>81</v>
      </c>
    </row>
    <row r="11" spans="1:3">
      <c r="C11" s="2" t="s">
        <v>120</v>
      </c>
    </row>
    <row r="12" spans="1:3">
      <c r="C12" s="2" t="s">
        <v>83</v>
      </c>
    </row>
    <row r="13" spans="1:3">
      <c r="C13" s="2" t="s">
        <v>215</v>
      </c>
    </row>
    <row r="14" spans="1:3">
      <c r="B14" s="2" t="s">
        <v>84</v>
      </c>
    </row>
    <row r="15" spans="1:3">
      <c r="B15" s="2"/>
      <c r="C15" s="2" t="s">
        <v>247</v>
      </c>
    </row>
    <row r="16" spans="1:3">
      <c r="C16" s="2" t="s">
        <v>248</v>
      </c>
    </row>
    <row r="17" spans="2:3">
      <c r="C17" s="2" t="s">
        <v>249</v>
      </c>
    </row>
    <row r="18" spans="2:3">
      <c r="B18" s="2" t="s">
        <v>86</v>
      </c>
    </row>
    <row r="19" spans="2:3">
      <c r="B19" s="2"/>
      <c r="C19" s="2" t="s">
        <v>250</v>
      </c>
    </row>
    <row r="20" spans="2:3">
      <c r="B20" s="2"/>
      <c r="C20" s="2" t="s">
        <v>251</v>
      </c>
    </row>
    <row r="21" spans="2:3">
      <c r="C21" s="2" t="s">
        <v>252</v>
      </c>
    </row>
    <row r="22" spans="2:3">
      <c r="C22" s="2" t="s">
        <v>90</v>
      </c>
    </row>
    <row r="23" spans="2:3">
      <c r="B23" s="2" t="s">
        <v>42</v>
      </c>
    </row>
    <row r="24" spans="2:3">
      <c r="C24" s="2" t="s">
        <v>253</v>
      </c>
    </row>
    <row r="25" spans="2:3">
      <c r="B25" s="2" t="s">
        <v>43</v>
      </c>
    </row>
    <row r="26" spans="2:3">
      <c r="C26" s="2" t="s">
        <v>125</v>
      </c>
    </row>
    <row r="27" spans="2:3">
      <c r="C27" s="2" t="s">
        <v>165</v>
      </c>
    </row>
    <row r="28" spans="2:3">
      <c r="C28" s="2" t="s">
        <v>242</v>
      </c>
    </row>
    <row r="29" spans="2:3">
      <c r="B29" s="2" t="s">
        <v>45</v>
      </c>
    </row>
    <row r="30" spans="2:3">
      <c r="B30" s="2"/>
      <c r="C30" s="2" t="s">
        <v>163</v>
      </c>
    </row>
    <row r="31" spans="2:3">
      <c r="C31" s="2" t="s">
        <v>130</v>
      </c>
    </row>
    <row r="32" spans="2:3">
      <c r="C32" s="2" t="s">
        <v>164</v>
      </c>
    </row>
    <row r="33" spans="1:3" ht="13">
      <c r="A33" s="1" t="s">
        <v>29</v>
      </c>
      <c r="C33" s="2"/>
    </row>
    <row r="34" spans="1:3">
      <c r="B34" s="2" t="s">
        <v>30</v>
      </c>
    </row>
    <row r="35" spans="1:3">
      <c r="B35" s="2"/>
      <c r="C35" s="2" t="s">
        <v>254</v>
      </c>
    </row>
    <row r="36" spans="1:3">
      <c r="C36" s="2" t="s">
        <v>95</v>
      </c>
    </row>
    <row r="37" spans="1:3">
      <c r="C37" s="2" t="s">
        <v>255</v>
      </c>
    </row>
    <row r="38" spans="1:3">
      <c r="B38" s="2" t="s">
        <v>44</v>
      </c>
    </row>
    <row r="39" spans="1:3">
      <c r="B39" s="2"/>
      <c r="C39" s="2" t="s">
        <v>250</v>
      </c>
    </row>
    <row r="40" spans="1:3">
      <c r="C40" s="2" t="s">
        <v>251</v>
      </c>
    </row>
    <row r="41" spans="1:3">
      <c r="B41" s="2" t="s">
        <v>40</v>
      </c>
    </row>
    <row r="42" spans="1:3">
      <c r="C42" s="2" t="s">
        <v>96</v>
      </c>
    </row>
    <row r="43" spans="1:3">
      <c r="C43" s="2" t="s">
        <v>97</v>
      </c>
    </row>
    <row r="44" spans="1:3">
      <c r="C44" s="2" t="s">
        <v>98</v>
      </c>
    </row>
    <row r="45" spans="1:3">
      <c r="B45" s="2" t="s">
        <v>31</v>
      </c>
    </row>
    <row r="46" spans="1:3">
      <c r="C46" s="2" t="s">
        <v>214</v>
      </c>
    </row>
    <row r="47" spans="1:3">
      <c r="C47" s="2" t="s">
        <v>226</v>
      </c>
    </row>
    <row r="48" spans="1:3">
      <c r="C48" s="2" t="s">
        <v>119</v>
      </c>
    </row>
    <row r="49" spans="1:3">
      <c r="C49" s="2" t="s">
        <v>256</v>
      </c>
    </row>
    <row r="50" spans="1:3">
      <c r="C50" s="2" t="s">
        <v>257</v>
      </c>
    </row>
    <row r="51" spans="1:3">
      <c r="C51" s="2" t="s">
        <v>258</v>
      </c>
    </row>
    <row r="52" spans="1:3">
      <c r="B52" s="2" t="s">
        <v>150</v>
      </c>
      <c r="C52" s="2"/>
    </row>
    <row r="53" spans="1:3">
      <c r="B53" s="2"/>
      <c r="C53" s="2" t="s">
        <v>259</v>
      </c>
    </row>
    <row r="54" spans="1:3" ht="13">
      <c r="A54" s="1" t="s">
        <v>33</v>
      </c>
    </row>
    <row r="55" spans="1:3">
      <c r="B55" s="2" t="s">
        <v>32</v>
      </c>
    </row>
    <row r="56" spans="1:3">
      <c r="C56" s="2" t="s">
        <v>237</v>
      </c>
    </row>
    <row r="57" spans="1:3">
      <c r="C57" s="2" t="s">
        <v>99</v>
      </c>
    </row>
    <row r="58" spans="1:3">
      <c r="B58" s="2" t="s">
        <v>100</v>
      </c>
    </row>
    <row r="59" spans="1:3">
      <c r="C59" s="2" t="s">
        <v>101</v>
      </c>
    </row>
    <row r="60" spans="1:3">
      <c r="C60" s="2" t="s">
        <v>131</v>
      </c>
    </row>
    <row r="61" spans="1:3">
      <c r="C61" s="2" t="s">
        <v>260</v>
      </c>
    </row>
    <row r="62" spans="1:3">
      <c r="C62" s="2" t="s">
        <v>217</v>
      </c>
    </row>
    <row r="63" spans="1:3">
      <c r="B63" s="2" t="s">
        <v>46</v>
      </c>
    </row>
    <row r="64" spans="1:3">
      <c r="C64" s="2" t="s">
        <v>102</v>
      </c>
    </row>
    <row r="65" spans="1:3">
      <c r="C65" s="2" t="s">
        <v>238</v>
      </c>
    </row>
    <row r="66" spans="1:3">
      <c r="B66" s="2" t="s">
        <v>47</v>
      </c>
    </row>
    <row r="67" spans="1:3">
      <c r="C67" s="2" t="s">
        <v>219</v>
      </c>
    </row>
    <row r="68" spans="1:3">
      <c r="C68" s="2" t="s">
        <v>261</v>
      </c>
    </row>
    <row r="69" spans="1:3">
      <c r="C69" s="2" t="s">
        <v>262</v>
      </c>
    </row>
    <row r="70" spans="1:3">
      <c r="B70" s="2" t="s">
        <v>152</v>
      </c>
      <c r="C70" s="2"/>
    </row>
    <row r="71" spans="1:3">
      <c r="B71" s="2"/>
      <c r="C71" s="2" t="s">
        <v>218</v>
      </c>
    </row>
    <row r="72" spans="1:3">
      <c r="B72" s="2" t="s">
        <v>34</v>
      </c>
    </row>
    <row r="73" spans="1:3">
      <c r="C73" s="2" t="s">
        <v>240</v>
      </c>
    </row>
    <row r="74" spans="1:3">
      <c r="C74" s="2" t="s">
        <v>132</v>
      </c>
    </row>
    <row r="75" spans="1:3">
      <c r="C75" s="2" t="s">
        <v>216</v>
      </c>
    </row>
    <row r="76" spans="1:3" ht="13">
      <c r="A76" s="1" t="s">
        <v>37</v>
      </c>
    </row>
    <row r="77" spans="1:3">
      <c r="B77" s="2" t="s">
        <v>38</v>
      </c>
    </row>
    <row r="78" spans="1:3">
      <c r="C78" s="2" t="s">
        <v>103</v>
      </c>
    </row>
    <row r="79" spans="1:3">
      <c r="C79" s="2" t="s">
        <v>99</v>
      </c>
    </row>
    <row r="80" spans="1:3">
      <c r="B80" s="2" t="s">
        <v>48</v>
      </c>
    </row>
    <row r="81" spans="1:3">
      <c r="C81" s="2" t="s">
        <v>104</v>
      </c>
    </row>
    <row r="82" spans="1:3">
      <c r="C82" s="2" t="s">
        <v>263</v>
      </c>
    </row>
    <row r="83" spans="1:3">
      <c r="B83" s="2" t="s">
        <v>49</v>
      </c>
    </row>
    <row r="84" spans="1:3">
      <c r="C84" s="2" t="s">
        <v>243</v>
      </c>
    </row>
    <row r="85" spans="1:3">
      <c r="C85" s="2" t="s">
        <v>241</v>
      </c>
    </row>
    <row r="86" spans="1:3">
      <c r="C86" s="2" t="s">
        <v>244</v>
      </c>
    </row>
    <row r="87" spans="1:3" ht="13">
      <c r="A87" s="1" t="s">
        <v>3</v>
      </c>
    </row>
    <row r="88" spans="1:3">
      <c r="B88" s="2" t="s">
        <v>39</v>
      </c>
    </row>
    <row r="89" spans="1:3">
      <c r="B89" s="2" t="s">
        <v>169</v>
      </c>
    </row>
    <row r="90" spans="1:3">
      <c r="B90" s="2" t="s">
        <v>4</v>
      </c>
    </row>
    <row r="92" spans="1:3" ht="13">
      <c r="A92" s="1" t="s">
        <v>77</v>
      </c>
    </row>
    <row r="94" spans="1:3" ht="13">
      <c r="A94" s="1" t="s">
        <v>78</v>
      </c>
    </row>
    <row r="95" spans="1:3" ht="13">
      <c r="A95" s="1"/>
      <c r="B95" s="2" t="s">
        <v>239</v>
      </c>
    </row>
    <row r="96" spans="1:3">
      <c r="B96" s="2" t="s">
        <v>220</v>
      </c>
    </row>
    <row r="97" spans="1:2">
      <c r="B97" s="2" t="s">
        <v>133</v>
      </c>
    </row>
    <row r="98" spans="1:2">
      <c r="B98" s="2" t="s">
        <v>129</v>
      </c>
    </row>
    <row r="99" spans="1:2">
      <c r="B99" s="2" t="s">
        <v>134</v>
      </c>
    </row>
    <row r="100" spans="1:2" ht="13">
      <c r="A100" s="1" t="s">
        <v>82</v>
      </c>
    </row>
    <row r="101" spans="1:2">
      <c r="B101" s="2" t="s">
        <v>124</v>
      </c>
    </row>
    <row r="102" spans="1:2">
      <c r="B102" s="2" t="s">
        <v>125</v>
      </c>
    </row>
    <row r="103" spans="1:2">
      <c r="B103" s="2" t="s">
        <v>127</v>
      </c>
    </row>
    <row r="104" spans="1:2" ht="13">
      <c r="A104" s="1" t="s">
        <v>85</v>
      </c>
    </row>
    <row r="105" spans="1:2" ht="13">
      <c r="A105" s="1" t="s">
        <v>87</v>
      </c>
    </row>
    <row r="106" spans="1:2" ht="13">
      <c r="A106" s="1" t="s">
        <v>88</v>
      </c>
    </row>
    <row r="107" spans="1:2">
      <c r="B107" s="2" t="s">
        <v>126</v>
      </c>
    </row>
    <row r="108" spans="1:2">
      <c r="B108" s="2" t="s">
        <v>128</v>
      </c>
    </row>
    <row r="109" spans="1:2">
      <c r="B109" s="2" t="s">
        <v>124</v>
      </c>
    </row>
    <row r="110" spans="1:2">
      <c r="B110" s="2" t="s">
        <v>135</v>
      </c>
    </row>
    <row r="111" spans="1:2">
      <c r="B111" s="2" t="s">
        <v>127</v>
      </c>
    </row>
    <row r="112" spans="1:2">
      <c r="B112" s="2" t="s">
        <v>221</v>
      </c>
    </row>
    <row r="113" spans="1:2" ht="13">
      <c r="A113" s="1" t="s">
        <v>89</v>
      </c>
    </row>
    <row r="114" spans="1:2" ht="13">
      <c r="A114" s="1" t="s">
        <v>91</v>
      </c>
    </row>
    <row r="115" spans="1:2" ht="13">
      <c r="A115" s="1"/>
      <c r="B115" s="2" t="s">
        <v>222</v>
      </c>
    </row>
    <row r="116" spans="1:2" ht="13">
      <c r="A116" s="1"/>
      <c r="B116" s="2" t="s">
        <v>223</v>
      </c>
    </row>
    <row r="117" spans="1:2" ht="13">
      <c r="A117" s="1" t="s">
        <v>92</v>
      </c>
    </row>
    <row r="118" spans="1:2">
      <c r="B118" s="2" t="s">
        <v>93</v>
      </c>
    </row>
    <row r="119" spans="1:2">
      <c r="B119" s="2" t="s">
        <v>224</v>
      </c>
    </row>
    <row r="120" spans="1:2" ht="13">
      <c r="A120" s="1" t="s">
        <v>117</v>
      </c>
    </row>
    <row r="121" spans="1:2">
      <c r="B121" s="2" t="s">
        <v>118</v>
      </c>
    </row>
    <row r="122" spans="1:2" ht="13">
      <c r="A122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Presentación</vt:lpstr>
      <vt:lpstr>Balance</vt:lpstr>
      <vt:lpstr>Resultados</vt:lpstr>
      <vt:lpstr>Ratios</vt:lpstr>
      <vt:lpstr>Rubros componentes</vt:lpstr>
      <vt:lpstr>Balance!Área_de_impresión</vt:lpstr>
      <vt:lpstr>Ratios!Área_de_impresión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Santic A.</dc:creator>
  <cp:lastModifiedBy>SANTIC AGUERO JOSE</cp:lastModifiedBy>
  <cp:lastPrinted>2024-07-31T16:04:34Z</cp:lastPrinted>
  <dcterms:created xsi:type="dcterms:W3CDTF">2003-10-14T01:31:02Z</dcterms:created>
  <dcterms:modified xsi:type="dcterms:W3CDTF">2025-02-12T23:06:57Z</dcterms:modified>
</cp:coreProperties>
</file>